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Taina.Matintalo\Documents\Simulaattorit\"/>
    </mc:Choice>
  </mc:AlternateContent>
  <workbookProtection workbookPassword="C071" lockStructure="1"/>
  <bookViews>
    <workbookView xWindow="-15" yWindow="105" windowWidth="10320" windowHeight="7965" tabRatio="530"/>
  </bookViews>
  <sheets>
    <sheet name="Simulator" sheetId="1" r:id="rId1"/>
    <sheet name="Calculation" sheetId="348" state="hidden" r:id="rId2"/>
  </sheets>
  <definedNames>
    <definedName name="_xlnm.Print_Area" localSheetId="1">Calculation!$A$1:$AF$186</definedName>
    <definedName name="_xlnm.Print_Area" localSheetId="0">Simulator!$A$1:$O$26</definedName>
  </definedNames>
  <calcPr calcId="171027"/>
</workbook>
</file>

<file path=xl/calcChain.xml><?xml version="1.0" encoding="utf-8"?>
<calcChain xmlns="http://schemas.openxmlformats.org/spreadsheetml/2006/main">
  <c r="H114" i="348" l="1"/>
  <c r="H115" i="348"/>
  <c r="H116" i="348"/>
  <c r="H117" i="348"/>
  <c r="H118" i="348"/>
  <c r="H119" i="348"/>
  <c r="H120" i="348"/>
  <c r="H121" i="348"/>
  <c r="H122" i="348"/>
  <c r="H123" i="348"/>
  <c r="H124" i="348"/>
  <c r="H125" i="348"/>
  <c r="H126" i="348"/>
  <c r="H113" i="348"/>
  <c r="N70" i="348" l="1"/>
  <c r="N130" i="348" s="1"/>
  <c r="O70" i="348"/>
  <c r="O130" i="348" s="1"/>
  <c r="P70" i="348"/>
  <c r="P130" i="348" s="1"/>
  <c r="Q70" i="348"/>
  <c r="Q130" i="348" s="1"/>
  <c r="R70" i="348"/>
  <c r="R130" i="348" s="1"/>
  <c r="S70" i="348"/>
  <c r="S130" i="348" s="1"/>
  <c r="T70" i="348"/>
  <c r="T130" i="348" s="1"/>
  <c r="U70" i="348"/>
  <c r="U130" i="348" s="1"/>
  <c r="V70" i="348"/>
  <c r="V130" i="348" s="1"/>
  <c r="W70" i="348"/>
  <c r="W130" i="348" s="1"/>
  <c r="X70" i="348"/>
  <c r="X130" i="348" s="1"/>
  <c r="Y70" i="348"/>
  <c r="Y130" i="348" s="1"/>
  <c r="Z70" i="348"/>
  <c r="Z130" i="348" s="1"/>
  <c r="AA70" i="348"/>
  <c r="AA130" i="348" s="1"/>
  <c r="AB70" i="348"/>
  <c r="AB130" i="348" s="1"/>
  <c r="AC70" i="348"/>
  <c r="AC130" i="348" s="1"/>
  <c r="AD70" i="348"/>
  <c r="AD130" i="348" s="1"/>
  <c r="AE70" i="348"/>
  <c r="AE130" i="348" s="1"/>
  <c r="AF70" i="348"/>
  <c r="AF130" i="348" s="1"/>
  <c r="N71" i="348"/>
  <c r="N131" i="348" s="1"/>
  <c r="O71" i="348"/>
  <c r="O131" i="348" s="1"/>
  <c r="P71" i="348"/>
  <c r="P131" i="348" s="1"/>
  <c r="Q71" i="348"/>
  <c r="Q131" i="348" s="1"/>
  <c r="R71" i="348"/>
  <c r="R131" i="348" s="1"/>
  <c r="S71" i="348"/>
  <c r="S131" i="348" s="1"/>
  <c r="T71" i="348"/>
  <c r="T131" i="348" s="1"/>
  <c r="U71" i="348"/>
  <c r="U131" i="348" s="1"/>
  <c r="V71" i="348"/>
  <c r="V131" i="348" s="1"/>
  <c r="W71" i="348"/>
  <c r="W131" i="348" s="1"/>
  <c r="X71" i="348"/>
  <c r="X131" i="348" s="1"/>
  <c r="Y71" i="348"/>
  <c r="Y131" i="348" s="1"/>
  <c r="Z71" i="348"/>
  <c r="Z131" i="348" s="1"/>
  <c r="AA71" i="348"/>
  <c r="AA131" i="348" s="1"/>
  <c r="AB71" i="348"/>
  <c r="AB131" i="348" s="1"/>
  <c r="AC71" i="348"/>
  <c r="AC131" i="348" s="1"/>
  <c r="AD71" i="348"/>
  <c r="AD131" i="348" s="1"/>
  <c r="AE71" i="348"/>
  <c r="AE131" i="348" s="1"/>
  <c r="AF71" i="348"/>
  <c r="AF131" i="348" s="1"/>
  <c r="N72" i="348"/>
  <c r="N132" i="348" s="1"/>
  <c r="O72" i="348"/>
  <c r="O132" i="348" s="1"/>
  <c r="P72" i="348"/>
  <c r="P132" i="348" s="1"/>
  <c r="Q72" i="348"/>
  <c r="Q132" i="348" s="1"/>
  <c r="R72" i="348"/>
  <c r="R132" i="348" s="1"/>
  <c r="S72" i="348"/>
  <c r="S132" i="348" s="1"/>
  <c r="T72" i="348"/>
  <c r="T132" i="348" s="1"/>
  <c r="U72" i="348"/>
  <c r="U132" i="348" s="1"/>
  <c r="V72" i="348"/>
  <c r="V132" i="348" s="1"/>
  <c r="W72" i="348"/>
  <c r="W132" i="348" s="1"/>
  <c r="X72" i="348"/>
  <c r="X132" i="348" s="1"/>
  <c r="Y72" i="348"/>
  <c r="Y132" i="348" s="1"/>
  <c r="Z72" i="348"/>
  <c r="Z132" i="348" s="1"/>
  <c r="AA72" i="348"/>
  <c r="AA132" i="348" s="1"/>
  <c r="AB72" i="348"/>
  <c r="AB132" i="348" s="1"/>
  <c r="AC72" i="348"/>
  <c r="AC132" i="348" s="1"/>
  <c r="AD72" i="348"/>
  <c r="AD132" i="348" s="1"/>
  <c r="AE72" i="348"/>
  <c r="AE132" i="348" s="1"/>
  <c r="AF72" i="348"/>
  <c r="AF132" i="348" s="1"/>
  <c r="N73" i="348"/>
  <c r="N133" i="348" s="1"/>
  <c r="O73" i="348"/>
  <c r="O133" i="348" s="1"/>
  <c r="P73" i="348"/>
  <c r="P133" i="348" s="1"/>
  <c r="Q73" i="348"/>
  <c r="Q133" i="348" s="1"/>
  <c r="R73" i="348"/>
  <c r="R133" i="348" s="1"/>
  <c r="S73" i="348"/>
  <c r="S133" i="348" s="1"/>
  <c r="T73" i="348"/>
  <c r="T133" i="348" s="1"/>
  <c r="U73" i="348"/>
  <c r="U133" i="348" s="1"/>
  <c r="V73" i="348"/>
  <c r="V133" i="348" s="1"/>
  <c r="W73" i="348"/>
  <c r="W133" i="348" s="1"/>
  <c r="X73" i="348"/>
  <c r="X133" i="348" s="1"/>
  <c r="Y73" i="348"/>
  <c r="Y133" i="348" s="1"/>
  <c r="Z73" i="348"/>
  <c r="Z133" i="348" s="1"/>
  <c r="AA73" i="348"/>
  <c r="AA133" i="348" s="1"/>
  <c r="AB73" i="348"/>
  <c r="AB133" i="348" s="1"/>
  <c r="AC73" i="348"/>
  <c r="AC133" i="348" s="1"/>
  <c r="AD73" i="348"/>
  <c r="AD133" i="348" s="1"/>
  <c r="AE73" i="348"/>
  <c r="AE133" i="348" s="1"/>
  <c r="AF73" i="348"/>
  <c r="AF133" i="348" s="1"/>
  <c r="N74" i="348"/>
  <c r="N134" i="348" s="1"/>
  <c r="O74" i="348"/>
  <c r="O134" i="348" s="1"/>
  <c r="P74" i="348"/>
  <c r="P134" i="348" s="1"/>
  <c r="Q74" i="348"/>
  <c r="Q134" i="348" s="1"/>
  <c r="R74" i="348"/>
  <c r="R134" i="348" s="1"/>
  <c r="S74" i="348"/>
  <c r="S134" i="348" s="1"/>
  <c r="T74" i="348"/>
  <c r="T134" i="348" s="1"/>
  <c r="U74" i="348"/>
  <c r="U134" i="348" s="1"/>
  <c r="V74" i="348"/>
  <c r="V134" i="348" s="1"/>
  <c r="W74" i="348"/>
  <c r="W134" i="348" s="1"/>
  <c r="X74" i="348"/>
  <c r="X134" i="348" s="1"/>
  <c r="Y74" i="348"/>
  <c r="Y134" i="348" s="1"/>
  <c r="Z74" i="348"/>
  <c r="Z134" i="348" s="1"/>
  <c r="AA74" i="348"/>
  <c r="AA134" i="348" s="1"/>
  <c r="AB74" i="348"/>
  <c r="AB134" i="348" s="1"/>
  <c r="AC74" i="348"/>
  <c r="AC134" i="348" s="1"/>
  <c r="AD74" i="348"/>
  <c r="AD134" i="348" s="1"/>
  <c r="AE74" i="348"/>
  <c r="AE134" i="348" s="1"/>
  <c r="AF74" i="348"/>
  <c r="AF134" i="348" s="1"/>
  <c r="N75" i="348"/>
  <c r="N135" i="348" s="1"/>
  <c r="O75" i="348"/>
  <c r="O135" i="348" s="1"/>
  <c r="P75" i="348"/>
  <c r="P135" i="348" s="1"/>
  <c r="Q75" i="348"/>
  <c r="Q135" i="348" s="1"/>
  <c r="R75" i="348"/>
  <c r="R135" i="348" s="1"/>
  <c r="S75" i="348"/>
  <c r="S135" i="348" s="1"/>
  <c r="T75" i="348"/>
  <c r="T135" i="348" s="1"/>
  <c r="U75" i="348"/>
  <c r="U135" i="348" s="1"/>
  <c r="V75" i="348"/>
  <c r="V135" i="348" s="1"/>
  <c r="W75" i="348"/>
  <c r="W135" i="348" s="1"/>
  <c r="X75" i="348"/>
  <c r="X135" i="348" s="1"/>
  <c r="Y75" i="348"/>
  <c r="Y135" i="348" s="1"/>
  <c r="Z75" i="348"/>
  <c r="Z135" i="348" s="1"/>
  <c r="AA75" i="348"/>
  <c r="AA135" i="348" s="1"/>
  <c r="AB75" i="348"/>
  <c r="AB135" i="348" s="1"/>
  <c r="AC75" i="348"/>
  <c r="AC135" i="348" s="1"/>
  <c r="AD75" i="348"/>
  <c r="AD135" i="348" s="1"/>
  <c r="AE75" i="348"/>
  <c r="AE135" i="348" s="1"/>
  <c r="AF75" i="348"/>
  <c r="AF135" i="348" s="1"/>
  <c r="N76" i="348"/>
  <c r="N136" i="348" s="1"/>
  <c r="O76" i="348"/>
  <c r="O136" i="348" s="1"/>
  <c r="P76" i="348"/>
  <c r="P136" i="348" s="1"/>
  <c r="Q76" i="348"/>
  <c r="Q136" i="348" s="1"/>
  <c r="R76" i="348"/>
  <c r="R136" i="348" s="1"/>
  <c r="S76" i="348"/>
  <c r="S136" i="348" s="1"/>
  <c r="T76" i="348"/>
  <c r="T136" i="348" s="1"/>
  <c r="U76" i="348"/>
  <c r="U136" i="348" s="1"/>
  <c r="V76" i="348"/>
  <c r="V136" i="348" s="1"/>
  <c r="W76" i="348"/>
  <c r="W136" i="348" s="1"/>
  <c r="X76" i="348"/>
  <c r="X136" i="348" s="1"/>
  <c r="Y76" i="348"/>
  <c r="Y136" i="348" s="1"/>
  <c r="Z76" i="348"/>
  <c r="Z136" i="348" s="1"/>
  <c r="AA76" i="348"/>
  <c r="AA136" i="348" s="1"/>
  <c r="AB76" i="348"/>
  <c r="AB136" i="348" s="1"/>
  <c r="AC76" i="348"/>
  <c r="AC136" i="348" s="1"/>
  <c r="AD76" i="348"/>
  <c r="AD136" i="348" s="1"/>
  <c r="AE76" i="348"/>
  <c r="AE136" i="348" s="1"/>
  <c r="AF76" i="348"/>
  <c r="AF136" i="348" s="1"/>
  <c r="N77" i="348"/>
  <c r="N137" i="348" s="1"/>
  <c r="O77" i="348"/>
  <c r="O137" i="348" s="1"/>
  <c r="P77" i="348"/>
  <c r="P137" i="348" s="1"/>
  <c r="Q77" i="348"/>
  <c r="Q137" i="348" s="1"/>
  <c r="R77" i="348"/>
  <c r="R137" i="348" s="1"/>
  <c r="S77" i="348"/>
  <c r="S137" i="348" s="1"/>
  <c r="T77" i="348"/>
  <c r="T137" i="348" s="1"/>
  <c r="U77" i="348"/>
  <c r="U137" i="348" s="1"/>
  <c r="V77" i="348"/>
  <c r="V137" i="348" s="1"/>
  <c r="W77" i="348"/>
  <c r="W137" i="348" s="1"/>
  <c r="X77" i="348"/>
  <c r="X137" i="348" s="1"/>
  <c r="Y77" i="348"/>
  <c r="Y137" i="348" s="1"/>
  <c r="Z77" i="348"/>
  <c r="Z137" i="348" s="1"/>
  <c r="AA77" i="348"/>
  <c r="AA137" i="348" s="1"/>
  <c r="AB77" i="348"/>
  <c r="AB137" i="348" s="1"/>
  <c r="AC77" i="348"/>
  <c r="AC137" i="348" s="1"/>
  <c r="AD77" i="348"/>
  <c r="AD137" i="348" s="1"/>
  <c r="AE77" i="348"/>
  <c r="AE137" i="348" s="1"/>
  <c r="AF77" i="348"/>
  <c r="AF137" i="348" s="1"/>
  <c r="N78" i="348"/>
  <c r="N138" i="348" s="1"/>
  <c r="O78" i="348"/>
  <c r="O138" i="348" s="1"/>
  <c r="P78" i="348"/>
  <c r="P138" i="348" s="1"/>
  <c r="Q78" i="348"/>
  <c r="Q138" i="348" s="1"/>
  <c r="R78" i="348"/>
  <c r="R138" i="348" s="1"/>
  <c r="S78" i="348"/>
  <c r="S138" i="348" s="1"/>
  <c r="T78" i="348"/>
  <c r="T138" i="348" s="1"/>
  <c r="U78" i="348"/>
  <c r="U138" i="348" s="1"/>
  <c r="V78" i="348"/>
  <c r="V138" i="348" s="1"/>
  <c r="W78" i="348"/>
  <c r="W138" i="348" s="1"/>
  <c r="X78" i="348"/>
  <c r="X138" i="348" s="1"/>
  <c r="Y78" i="348"/>
  <c r="Y138" i="348" s="1"/>
  <c r="Z78" i="348"/>
  <c r="Z138" i="348" s="1"/>
  <c r="AA78" i="348"/>
  <c r="AA138" i="348" s="1"/>
  <c r="AB78" i="348"/>
  <c r="AB138" i="348" s="1"/>
  <c r="AC78" i="348"/>
  <c r="AC138" i="348" s="1"/>
  <c r="AD78" i="348"/>
  <c r="AD138" i="348" s="1"/>
  <c r="AE78" i="348"/>
  <c r="AE138" i="348" s="1"/>
  <c r="AF78" i="348"/>
  <c r="AF138" i="348" s="1"/>
  <c r="N79" i="348"/>
  <c r="N139" i="348" s="1"/>
  <c r="O79" i="348"/>
  <c r="O139" i="348" s="1"/>
  <c r="P79" i="348"/>
  <c r="P139" i="348" s="1"/>
  <c r="Q79" i="348"/>
  <c r="Q139" i="348" s="1"/>
  <c r="R79" i="348"/>
  <c r="R139" i="348" s="1"/>
  <c r="S79" i="348"/>
  <c r="S139" i="348" s="1"/>
  <c r="T79" i="348"/>
  <c r="T139" i="348" s="1"/>
  <c r="U79" i="348"/>
  <c r="U139" i="348" s="1"/>
  <c r="V79" i="348"/>
  <c r="V139" i="348" s="1"/>
  <c r="W79" i="348"/>
  <c r="W139" i="348" s="1"/>
  <c r="X79" i="348"/>
  <c r="X139" i="348" s="1"/>
  <c r="Y79" i="348"/>
  <c r="Y139" i="348" s="1"/>
  <c r="Z79" i="348"/>
  <c r="Z139" i="348" s="1"/>
  <c r="AA79" i="348"/>
  <c r="AA139" i="348" s="1"/>
  <c r="AB79" i="348"/>
  <c r="AB139" i="348" s="1"/>
  <c r="AC79" i="348"/>
  <c r="AC139" i="348" s="1"/>
  <c r="AD79" i="348"/>
  <c r="AD139" i="348" s="1"/>
  <c r="AE79" i="348"/>
  <c r="AE139" i="348" s="1"/>
  <c r="AF79" i="348"/>
  <c r="AF139" i="348" s="1"/>
  <c r="N80" i="348"/>
  <c r="N140" i="348" s="1"/>
  <c r="O80" i="348"/>
  <c r="O140" i="348" s="1"/>
  <c r="P80" i="348"/>
  <c r="P140" i="348" s="1"/>
  <c r="Q80" i="348"/>
  <c r="Q140" i="348" s="1"/>
  <c r="R80" i="348"/>
  <c r="R140" i="348" s="1"/>
  <c r="S80" i="348"/>
  <c r="S140" i="348" s="1"/>
  <c r="T80" i="348"/>
  <c r="T140" i="348" s="1"/>
  <c r="U80" i="348"/>
  <c r="U140" i="348" s="1"/>
  <c r="V80" i="348"/>
  <c r="V140" i="348" s="1"/>
  <c r="W80" i="348"/>
  <c r="W140" i="348" s="1"/>
  <c r="X80" i="348"/>
  <c r="X140" i="348" s="1"/>
  <c r="Y80" i="348"/>
  <c r="Y140" i="348" s="1"/>
  <c r="Z80" i="348"/>
  <c r="Z140" i="348" s="1"/>
  <c r="AA80" i="348"/>
  <c r="AA140" i="348" s="1"/>
  <c r="AB80" i="348"/>
  <c r="AB140" i="348" s="1"/>
  <c r="AC80" i="348"/>
  <c r="AC140" i="348" s="1"/>
  <c r="AD80" i="348"/>
  <c r="AD140" i="348" s="1"/>
  <c r="AE80" i="348"/>
  <c r="AE140" i="348" s="1"/>
  <c r="AF80" i="348"/>
  <c r="AF140" i="348" s="1"/>
  <c r="N81" i="348"/>
  <c r="N141" i="348" s="1"/>
  <c r="O81" i="348"/>
  <c r="O141" i="348" s="1"/>
  <c r="P81" i="348"/>
  <c r="P141" i="348" s="1"/>
  <c r="Q81" i="348"/>
  <c r="Q141" i="348" s="1"/>
  <c r="R81" i="348"/>
  <c r="R141" i="348" s="1"/>
  <c r="S81" i="348"/>
  <c r="S141" i="348" s="1"/>
  <c r="T81" i="348"/>
  <c r="T141" i="348" s="1"/>
  <c r="U81" i="348"/>
  <c r="U141" i="348" s="1"/>
  <c r="V81" i="348"/>
  <c r="V141" i="348" s="1"/>
  <c r="W81" i="348"/>
  <c r="W141" i="348" s="1"/>
  <c r="X81" i="348"/>
  <c r="X141" i="348" s="1"/>
  <c r="Y81" i="348"/>
  <c r="Y141" i="348" s="1"/>
  <c r="Z81" i="348"/>
  <c r="Z141" i="348" s="1"/>
  <c r="AA81" i="348"/>
  <c r="AA141" i="348" s="1"/>
  <c r="AB81" i="348"/>
  <c r="AB141" i="348" s="1"/>
  <c r="AC81" i="348"/>
  <c r="AC141" i="348" s="1"/>
  <c r="AD81" i="348"/>
  <c r="AD141" i="348" s="1"/>
  <c r="AE81" i="348"/>
  <c r="AE141" i="348" s="1"/>
  <c r="AF81" i="348"/>
  <c r="AF141" i="348" s="1"/>
  <c r="N82" i="348"/>
  <c r="N142" i="348" s="1"/>
  <c r="O82" i="348"/>
  <c r="O142" i="348" s="1"/>
  <c r="P82" i="348"/>
  <c r="P142" i="348" s="1"/>
  <c r="Q82" i="348"/>
  <c r="Q142" i="348" s="1"/>
  <c r="R82" i="348"/>
  <c r="R142" i="348" s="1"/>
  <c r="S82" i="348"/>
  <c r="S142" i="348" s="1"/>
  <c r="T82" i="348"/>
  <c r="T142" i="348" s="1"/>
  <c r="U82" i="348"/>
  <c r="U142" i="348" s="1"/>
  <c r="V82" i="348"/>
  <c r="V142" i="348" s="1"/>
  <c r="W82" i="348"/>
  <c r="W142" i="348" s="1"/>
  <c r="X82" i="348"/>
  <c r="X142" i="348" s="1"/>
  <c r="Y82" i="348"/>
  <c r="Y142" i="348" s="1"/>
  <c r="Z82" i="348"/>
  <c r="Z142" i="348" s="1"/>
  <c r="AA82" i="348"/>
  <c r="AA142" i="348" s="1"/>
  <c r="AB82" i="348"/>
  <c r="AB142" i="348" s="1"/>
  <c r="AC82" i="348"/>
  <c r="AC142" i="348" s="1"/>
  <c r="AD82" i="348"/>
  <c r="AD142" i="348" s="1"/>
  <c r="AE82" i="348"/>
  <c r="AE142" i="348" s="1"/>
  <c r="AF82" i="348"/>
  <c r="AF142" i="348" s="1"/>
  <c r="N83" i="348"/>
  <c r="N143" i="348" s="1"/>
  <c r="O83" i="348"/>
  <c r="O143" i="348" s="1"/>
  <c r="P83" i="348"/>
  <c r="P143" i="348" s="1"/>
  <c r="Q83" i="348"/>
  <c r="Q143" i="348" s="1"/>
  <c r="R83" i="348"/>
  <c r="R143" i="348" s="1"/>
  <c r="S83" i="348"/>
  <c r="S143" i="348" s="1"/>
  <c r="T83" i="348"/>
  <c r="T143" i="348" s="1"/>
  <c r="U83" i="348"/>
  <c r="U143" i="348" s="1"/>
  <c r="V83" i="348"/>
  <c r="V143" i="348" s="1"/>
  <c r="W83" i="348"/>
  <c r="W143" i="348" s="1"/>
  <c r="X83" i="348"/>
  <c r="X143" i="348" s="1"/>
  <c r="Y83" i="348"/>
  <c r="Y143" i="348" s="1"/>
  <c r="Z83" i="348"/>
  <c r="Z143" i="348" s="1"/>
  <c r="AA83" i="348"/>
  <c r="AA143" i="348" s="1"/>
  <c r="AB83" i="348"/>
  <c r="AB143" i="348" s="1"/>
  <c r="AC83" i="348"/>
  <c r="AC143" i="348" s="1"/>
  <c r="AD83" i="348"/>
  <c r="AD143" i="348" s="1"/>
  <c r="AE83" i="348"/>
  <c r="AE143" i="348" s="1"/>
  <c r="AF83" i="348"/>
  <c r="AF143" i="348" s="1"/>
  <c r="M70" i="348"/>
  <c r="M130" i="348" s="1"/>
  <c r="M71" i="348"/>
  <c r="M131" i="348" s="1"/>
  <c r="M72" i="348"/>
  <c r="M132" i="348" s="1"/>
  <c r="M73" i="348"/>
  <c r="M133" i="348" s="1"/>
  <c r="M74" i="348"/>
  <c r="M134" i="348" s="1"/>
  <c r="M75" i="348"/>
  <c r="M135" i="348" s="1"/>
  <c r="M76" i="348"/>
  <c r="M136" i="348" s="1"/>
  <c r="M77" i="348"/>
  <c r="M137" i="348" s="1"/>
  <c r="M78" i="348"/>
  <c r="M138" i="348" s="1"/>
  <c r="M79" i="348"/>
  <c r="M139" i="348" s="1"/>
  <c r="M80" i="348"/>
  <c r="M140" i="348" s="1"/>
  <c r="M81" i="348"/>
  <c r="M141" i="348" s="1"/>
  <c r="M82" i="348"/>
  <c r="M142" i="348" s="1"/>
  <c r="M83" i="348"/>
  <c r="M143" i="348" s="1"/>
  <c r="K152" i="348" l="1"/>
  <c r="V129" i="348"/>
  <c r="U129" i="348"/>
  <c r="P129" i="348"/>
  <c r="V69" i="348" l="1"/>
  <c r="V52" i="348" s="1"/>
  <c r="P69" i="348"/>
  <c r="P52" i="348" s="1"/>
  <c r="Q69" i="348"/>
  <c r="F2" i="348"/>
  <c r="E2" i="348"/>
  <c r="E15" i="348" s="1"/>
  <c r="L181" i="348" l="1"/>
  <c r="V155" i="348"/>
  <c r="J155" i="348"/>
  <c r="J138" i="348"/>
  <c r="K138" i="348"/>
  <c r="I138" i="348"/>
  <c r="H138" i="348"/>
  <c r="G138" i="348" l="1"/>
  <c r="L121" i="348"/>
  <c r="L78" i="348"/>
  <c r="K95" i="348" s="1"/>
  <c r="U69" i="348"/>
  <c r="J78" i="348"/>
  <c r="J95" i="348" s="1"/>
  <c r="P121" i="348" s="1"/>
  <c r="P181" i="348" s="1"/>
  <c r="G78" i="348"/>
  <c r="D69" i="348"/>
  <c r="B43" i="348"/>
  <c r="H95" i="348" l="1"/>
  <c r="L138" i="348"/>
  <c r="K155" i="348" s="1"/>
  <c r="H155" i="348" s="1"/>
  <c r="L82" i="348"/>
  <c r="K99" i="348" s="1"/>
  <c r="L70" i="348" l="1"/>
  <c r="L130" i="348" l="1"/>
  <c r="K87" i="348"/>
  <c r="H130" i="348"/>
  <c r="V154" i="348" l="1"/>
  <c r="V151" i="348"/>
  <c r="L71" i="348"/>
  <c r="L79" i="348" l="1"/>
  <c r="K96" i="348" s="1"/>
  <c r="L77" i="348"/>
  <c r="L76" i="348"/>
  <c r="L75" i="348"/>
  <c r="L74" i="348"/>
  <c r="L73" i="348"/>
  <c r="L72" i="348"/>
  <c r="L83" i="348"/>
  <c r="K100" i="348" s="1"/>
  <c r="L81" i="348"/>
  <c r="K98" i="348" s="1"/>
  <c r="L80" i="348"/>
  <c r="K97" i="348" s="1"/>
  <c r="K94" i="348" l="1"/>
  <c r="K92" i="348"/>
  <c r="K90" i="348"/>
  <c r="K88" i="348"/>
  <c r="AF129" i="348"/>
  <c r="AE129" i="348"/>
  <c r="AD129" i="348"/>
  <c r="AC129" i="348"/>
  <c r="AB129" i="348"/>
  <c r="AA129" i="348"/>
  <c r="Z129" i="348"/>
  <c r="Y129" i="348"/>
  <c r="X129" i="348"/>
  <c r="W129" i="348"/>
  <c r="T129" i="348"/>
  <c r="S129" i="348"/>
  <c r="R129" i="348"/>
  <c r="M129" i="348"/>
  <c r="L129" i="348"/>
  <c r="J147" i="348"/>
  <c r="J148" i="348"/>
  <c r="K93" i="348"/>
  <c r="K91" i="348"/>
  <c r="K89" i="348"/>
  <c r="AF69" i="348" l="1"/>
  <c r="AF52" i="348" s="1"/>
  <c r="AE69" i="348"/>
  <c r="AE52" i="348" s="1"/>
  <c r="AD69" i="348"/>
  <c r="AD52" i="348" s="1"/>
  <c r="AC69" i="348"/>
  <c r="AC52" i="348" s="1"/>
  <c r="AB69" i="348"/>
  <c r="AB52" i="348" s="1"/>
  <c r="AA69" i="348"/>
  <c r="AA52" i="348" s="1"/>
  <c r="Z69" i="348"/>
  <c r="Z52" i="348" s="1"/>
  <c r="Y69" i="348"/>
  <c r="Y52" i="348" s="1"/>
  <c r="X69" i="348"/>
  <c r="X52" i="348" s="1"/>
  <c r="W69" i="348"/>
  <c r="W52" i="348" s="1"/>
  <c r="U52" i="348"/>
  <c r="T69" i="348"/>
  <c r="T52" i="348" s="1"/>
  <c r="S69" i="348"/>
  <c r="S52" i="348" s="1"/>
  <c r="R69" i="348"/>
  <c r="R52" i="348" s="1"/>
  <c r="F10" i="348"/>
  <c r="E10" i="348"/>
  <c r="D2" i="348"/>
  <c r="D10" i="348" s="1"/>
  <c r="C2" i="348"/>
  <c r="C10" i="348" s="1"/>
  <c r="D14" i="348" l="1"/>
  <c r="E4" i="348"/>
  <c r="F15" i="348"/>
  <c r="C15" i="348"/>
  <c r="C13" i="348"/>
  <c r="C4" i="348"/>
  <c r="C7" i="348"/>
  <c r="C8" i="348"/>
  <c r="C3" i="348"/>
  <c r="C12" i="348"/>
  <c r="F12" i="348"/>
  <c r="D7" i="348"/>
  <c r="F3" i="348"/>
  <c r="F7" i="348"/>
  <c r="F13" i="348"/>
  <c r="C5" i="348"/>
  <c r="C9" i="348"/>
  <c r="C14" i="348"/>
  <c r="D4" i="348"/>
  <c r="D8" i="348"/>
  <c r="D13" i="348"/>
  <c r="E3" i="348"/>
  <c r="F4" i="348"/>
  <c r="F8" i="348"/>
  <c r="F14" i="348"/>
  <c r="B23" i="1" s="1"/>
  <c r="D6" i="348"/>
  <c r="D11" i="348"/>
  <c r="D15" i="348"/>
  <c r="F6" i="348"/>
  <c r="D3" i="348"/>
  <c r="D12" i="348"/>
  <c r="C6" i="348"/>
  <c r="C11" i="348"/>
  <c r="D5" i="348"/>
  <c r="D9" i="348"/>
  <c r="F5" i="348"/>
  <c r="F11" i="348"/>
  <c r="B20" i="1" l="1"/>
  <c r="E69" i="348"/>
  <c r="E70" i="348"/>
  <c r="E71" i="348"/>
  <c r="E72" i="348"/>
  <c r="L126" i="348"/>
  <c r="L125" i="348"/>
  <c r="L124" i="348"/>
  <c r="L123" i="348"/>
  <c r="L122" i="348"/>
  <c r="L120" i="348"/>
  <c r="L119" i="348"/>
  <c r="L118" i="348"/>
  <c r="L117" i="348"/>
  <c r="L116" i="348"/>
  <c r="L115" i="348"/>
  <c r="L114" i="348"/>
  <c r="L113" i="348"/>
  <c r="E133" i="348"/>
  <c r="L155" i="348" s="1"/>
  <c r="E132" i="348"/>
  <c r="B48" i="348" l="1"/>
  <c r="L186" i="348"/>
  <c r="L185" i="348"/>
  <c r="L184" i="348"/>
  <c r="L183" i="348"/>
  <c r="L182" i="348"/>
  <c r="L180" i="348"/>
  <c r="L179" i="348"/>
  <c r="L178" i="348"/>
  <c r="L177" i="348"/>
  <c r="L176" i="348"/>
  <c r="L175" i="348"/>
  <c r="L174" i="348"/>
  <c r="L173" i="348"/>
  <c r="V160" i="348"/>
  <c r="J160" i="348"/>
  <c r="V147" i="348"/>
  <c r="J159" i="348"/>
  <c r="J158" i="348"/>
  <c r="J157" i="348"/>
  <c r="J156" i="348"/>
  <c r="J154" i="348"/>
  <c r="J153" i="348"/>
  <c r="J152" i="348"/>
  <c r="J151" i="348"/>
  <c r="J150" i="348"/>
  <c r="J149" i="348"/>
  <c r="K147" i="348"/>
  <c r="K130" i="348"/>
  <c r="L143" i="348"/>
  <c r="K160" i="348" s="1"/>
  <c r="K143" i="348"/>
  <c r="J143" i="348"/>
  <c r="I143" i="348"/>
  <c r="H143" i="348"/>
  <c r="J142" i="348"/>
  <c r="J141" i="348"/>
  <c r="J140" i="348"/>
  <c r="J139" i="348"/>
  <c r="J137" i="348"/>
  <c r="J136" i="348"/>
  <c r="J135" i="348"/>
  <c r="J134" i="348"/>
  <c r="J133" i="348"/>
  <c r="J132" i="348"/>
  <c r="J131" i="348"/>
  <c r="J130" i="348"/>
  <c r="G83" i="348"/>
  <c r="J83" i="348"/>
  <c r="J100" i="348" s="1"/>
  <c r="P126" i="348" s="1"/>
  <c r="P186" i="348" s="1"/>
  <c r="I130" i="348"/>
  <c r="J70" i="348"/>
  <c r="J87" i="348" s="1"/>
  <c r="P113" i="348" s="1"/>
  <c r="P173" i="348" s="1"/>
  <c r="G70" i="348"/>
  <c r="H87" i="348" s="1"/>
  <c r="Q129" i="348"/>
  <c r="K146" i="348" s="1"/>
  <c r="O129" i="348"/>
  <c r="N129" i="348"/>
  <c r="B35" i="348"/>
  <c r="L147" i="348" l="1"/>
  <c r="G130" i="348"/>
  <c r="H147" i="348" s="1"/>
  <c r="G143" i="348"/>
  <c r="E14" i="348"/>
  <c r="E12" i="348"/>
  <c r="E9" i="348"/>
  <c r="E7" i="348"/>
  <c r="E5" i="348"/>
  <c r="E13" i="348"/>
  <c r="E11" i="348"/>
  <c r="E8" i="348"/>
  <c r="E6" i="348"/>
  <c r="B11" i="1"/>
  <c r="H100" i="348"/>
  <c r="F9" i="348"/>
  <c r="B19" i="1" s="1"/>
  <c r="B24" i="1" l="1"/>
  <c r="H6" i="1"/>
  <c r="K9" i="1"/>
  <c r="I9" i="1"/>
  <c r="L33" i="348"/>
  <c r="M33" i="348"/>
  <c r="L34" i="348"/>
  <c r="M34" i="348"/>
  <c r="E33" i="348"/>
  <c r="F33" i="348"/>
  <c r="E34" i="348"/>
  <c r="F34" i="348"/>
  <c r="Q103" i="348" l="1"/>
  <c r="Q163" i="348"/>
  <c r="R185" i="348" l="1"/>
  <c r="R181" i="348"/>
  <c r="R125" i="348"/>
  <c r="R121" i="348"/>
  <c r="R173" i="348"/>
  <c r="R186" i="348"/>
  <c r="R114" i="348"/>
  <c r="R126" i="348"/>
  <c r="R113" i="348"/>
  <c r="H131" i="348" l="1"/>
  <c r="H132" i="348"/>
  <c r="H133" i="348"/>
  <c r="H134" i="348"/>
  <c r="H135" i="348"/>
  <c r="H136" i="348"/>
  <c r="H137" i="348"/>
  <c r="H139" i="348"/>
  <c r="H140" i="348"/>
  <c r="H141" i="348"/>
  <c r="H142" i="348"/>
  <c r="I132" i="348"/>
  <c r="I133" i="348"/>
  <c r="I134" i="348"/>
  <c r="I135" i="348"/>
  <c r="I136" i="348"/>
  <c r="I137" i="348"/>
  <c r="I139" i="348"/>
  <c r="I140" i="348"/>
  <c r="I141" i="348"/>
  <c r="I142" i="348"/>
  <c r="I131" i="348"/>
  <c r="O69" i="348"/>
  <c r="O52" i="348" s="1"/>
  <c r="N69" i="348"/>
  <c r="N52" i="348" s="1"/>
  <c r="M69" i="348"/>
  <c r="M52" i="348" s="1"/>
  <c r="L69" i="348"/>
  <c r="L52" i="348" l="1"/>
  <c r="K86" i="348"/>
  <c r="Q52" i="348"/>
  <c r="G131" i="348"/>
  <c r="G140" i="348"/>
  <c r="G141" i="348"/>
  <c r="G139" i="348"/>
  <c r="G136" i="348"/>
  <c r="G134" i="348"/>
  <c r="G132" i="348"/>
  <c r="G142" i="348"/>
  <c r="G137" i="348"/>
  <c r="G135" i="348"/>
  <c r="G133" i="348"/>
  <c r="J72" i="348"/>
  <c r="J89" i="348" s="1"/>
  <c r="P115" i="348" s="1"/>
  <c r="P175" i="348" s="1"/>
  <c r="J73" i="348"/>
  <c r="J90" i="348" s="1"/>
  <c r="P116" i="348" s="1"/>
  <c r="P176" i="348" s="1"/>
  <c r="J74" i="348"/>
  <c r="J91" i="348" s="1"/>
  <c r="P117" i="348" s="1"/>
  <c r="P177" i="348" s="1"/>
  <c r="J75" i="348"/>
  <c r="J92" i="348" s="1"/>
  <c r="P118" i="348" s="1"/>
  <c r="P178" i="348" s="1"/>
  <c r="J76" i="348"/>
  <c r="J93" i="348" s="1"/>
  <c r="P119" i="348" s="1"/>
  <c r="P179" i="348" s="1"/>
  <c r="J77" i="348"/>
  <c r="J94" i="348" s="1"/>
  <c r="P120" i="348" s="1"/>
  <c r="P180" i="348" s="1"/>
  <c r="J79" i="348"/>
  <c r="J96" i="348" s="1"/>
  <c r="P122" i="348" s="1"/>
  <c r="P182" i="348" s="1"/>
  <c r="J80" i="348"/>
  <c r="J97" i="348" s="1"/>
  <c r="P123" i="348" s="1"/>
  <c r="P183" i="348" s="1"/>
  <c r="J81" i="348"/>
  <c r="J98" i="348" s="1"/>
  <c r="P124" i="348" s="1"/>
  <c r="P184" i="348" s="1"/>
  <c r="J82" i="348"/>
  <c r="J99" i="348" s="1"/>
  <c r="P125" i="348" s="1"/>
  <c r="P185" i="348" s="1"/>
  <c r="J71" i="348"/>
  <c r="J88" i="348" s="1"/>
  <c r="P114" i="348" s="1"/>
  <c r="P174" i="348" s="1"/>
  <c r="G82" i="348"/>
  <c r="H99" i="348" s="1"/>
  <c r="G81" i="348"/>
  <c r="G80" i="348"/>
  <c r="G79" i="348"/>
  <c r="G77" i="348"/>
  <c r="G76" i="348"/>
  <c r="G75" i="348"/>
  <c r="G74" i="348"/>
  <c r="G73" i="348"/>
  <c r="G72" i="348"/>
  <c r="G71" i="348"/>
  <c r="B37" i="348" l="1"/>
  <c r="B38" i="348"/>
  <c r="B39" i="348"/>
  <c r="B40" i="348"/>
  <c r="B41" i="348"/>
  <c r="B42" i="348"/>
  <c r="B44" i="348"/>
  <c r="B45" i="348"/>
  <c r="B46" i="348"/>
  <c r="B47" i="348"/>
  <c r="B36" i="348"/>
  <c r="C33" i="348" l="1"/>
  <c r="D33" i="348"/>
  <c r="G33" i="348"/>
  <c r="H33" i="348"/>
  <c r="I33" i="348"/>
  <c r="I34" i="348" s="1"/>
  <c r="J33" i="348"/>
  <c r="K33" i="348"/>
  <c r="N33" i="348"/>
  <c r="O33" i="348"/>
  <c r="P33" i="348"/>
  <c r="P34" i="348" s="1"/>
  <c r="C34" i="348"/>
  <c r="D34" i="348"/>
  <c r="G34" i="348"/>
  <c r="H34" i="348"/>
  <c r="J34" i="348"/>
  <c r="K34" i="348"/>
  <c r="N34" i="348"/>
  <c r="O34" i="348"/>
  <c r="B69" i="348"/>
  <c r="C69" i="348"/>
  <c r="F69" i="348"/>
  <c r="B70" i="348"/>
  <c r="C70" i="348"/>
  <c r="D70" i="348"/>
  <c r="F70" i="348"/>
  <c r="B71" i="348"/>
  <c r="C71" i="348"/>
  <c r="D71" i="348"/>
  <c r="F71" i="348"/>
  <c r="B72" i="348"/>
  <c r="C72" i="348"/>
  <c r="E76" i="348"/>
  <c r="E78" i="348"/>
  <c r="E74" i="348" s="1"/>
  <c r="H88" i="348"/>
  <c r="H89" i="348"/>
  <c r="H90" i="348"/>
  <c r="H91" i="348"/>
  <c r="H92" i="348"/>
  <c r="H93" i="348"/>
  <c r="H94" i="348"/>
  <c r="H96" i="348"/>
  <c r="H97" i="348"/>
  <c r="H98" i="348"/>
  <c r="Q106" i="348"/>
  <c r="S106" i="348"/>
  <c r="Q109" i="348"/>
  <c r="S109" i="348"/>
  <c r="R116" i="348"/>
  <c r="R118" i="348"/>
  <c r="R120" i="348"/>
  <c r="R123" i="348"/>
  <c r="B129" i="348"/>
  <c r="C129" i="348"/>
  <c r="D129" i="348"/>
  <c r="E129" i="348"/>
  <c r="F129" i="348"/>
  <c r="B130" i="348"/>
  <c r="C130" i="348"/>
  <c r="D130" i="348"/>
  <c r="E130" i="348"/>
  <c r="F130" i="348"/>
  <c r="K131" i="348"/>
  <c r="L131" i="348"/>
  <c r="B131" i="348"/>
  <c r="C131" i="348"/>
  <c r="D131" i="348"/>
  <c r="E131" i="348"/>
  <c r="F131" i="348"/>
  <c r="K132" i="348"/>
  <c r="L132" i="348"/>
  <c r="B132" i="348"/>
  <c r="C132" i="348"/>
  <c r="K133" i="348"/>
  <c r="L133" i="348"/>
  <c r="L160" i="348"/>
  <c r="K134" i="348"/>
  <c r="L134" i="348"/>
  <c r="K135" i="348"/>
  <c r="L135" i="348"/>
  <c r="E135" i="348"/>
  <c r="K136" i="348"/>
  <c r="L136" i="348"/>
  <c r="K137" i="348"/>
  <c r="L137" i="348"/>
  <c r="K139" i="348"/>
  <c r="L139" i="348"/>
  <c r="K156" i="348" s="1"/>
  <c r="K140" i="348"/>
  <c r="L140" i="348"/>
  <c r="K157" i="348" s="1"/>
  <c r="K141" i="348"/>
  <c r="L141" i="348"/>
  <c r="K158" i="348" s="1"/>
  <c r="K142" i="348"/>
  <c r="L142" i="348"/>
  <c r="K159" i="348" s="1"/>
  <c r="V148" i="348"/>
  <c r="V149" i="348"/>
  <c r="V150" i="348"/>
  <c r="V152" i="348"/>
  <c r="V153" i="348"/>
  <c r="V156" i="348"/>
  <c r="V157" i="348"/>
  <c r="V158" i="348"/>
  <c r="V159" i="348"/>
  <c r="R175" i="348"/>
  <c r="Q166" i="348"/>
  <c r="S166" i="348"/>
  <c r="Q169" i="348"/>
  <c r="S169" i="348"/>
  <c r="R174" i="348"/>
  <c r="R178" i="348"/>
  <c r="R183" i="348"/>
  <c r="E9" i="1"/>
  <c r="E10" i="1" s="1"/>
  <c r="G9" i="1"/>
  <c r="G10" i="1" s="1"/>
  <c r="I10" i="1"/>
  <c r="K10" i="1"/>
  <c r="M10" i="1"/>
  <c r="M155" i="348" l="1"/>
  <c r="X181" i="348" s="1"/>
  <c r="Q181" i="348"/>
  <c r="O155" i="348"/>
  <c r="R155" i="348" s="1"/>
  <c r="H160" i="348"/>
  <c r="M121" i="348"/>
  <c r="Q121" i="348"/>
  <c r="E80" i="348"/>
  <c r="L95" i="348" s="1"/>
  <c r="M95" i="348" s="1"/>
  <c r="O147" i="348"/>
  <c r="R147" i="348" s="1"/>
  <c r="S147" i="348" s="1"/>
  <c r="Q173" i="348"/>
  <c r="Q174" i="348"/>
  <c r="Q178" i="348"/>
  <c r="Q183" i="348"/>
  <c r="Q185" i="348"/>
  <c r="Q182" i="348"/>
  <c r="Q175" i="348"/>
  <c r="Q179" i="348"/>
  <c r="Q184" i="348"/>
  <c r="Q176" i="348"/>
  <c r="Q180" i="348"/>
  <c r="Q177" i="348"/>
  <c r="Q186" i="348"/>
  <c r="M116" i="348"/>
  <c r="M176" i="348" s="1"/>
  <c r="N176" i="348" s="1"/>
  <c r="T176" i="348" s="1"/>
  <c r="M120" i="348"/>
  <c r="M180" i="348" s="1"/>
  <c r="N180" i="348" s="1"/>
  <c r="T180" i="348" s="1"/>
  <c r="M125" i="348"/>
  <c r="M185" i="348" s="1"/>
  <c r="N185" i="348" s="1"/>
  <c r="T185" i="348" s="1"/>
  <c r="M118" i="348"/>
  <c r="M178" i="348" s="1"/>
  <c r="N178" i="348" s="1"/>
  <c r="T178" i="348" s="1"/>
  <c r="M123" i="348"/>
  <c r="M183" i="348" s="1"/>
  <c r="N183" i="348" s="1"/>
  <c r="T183" i="348" s="1"/>
  <c r="M119" i="348"/>
  <c r="M179" i="348" s="1"/>
  <c r="N179" i="348" s="1"/>
  <c r="T179" i="348" s="1"/>
  <c r="M117" i="348"/>
  <c r="M122" i="348"/>
  <c r="M182" i="348" s="1"/>
  <c r="N182" i="348" s="1"/>
  <c r="T182" i="348" s="1"/>
  <c r="M126" i="348"/>
  <c r="M186" i="348" s="1"/>
  <c r="N186" i="348" s="1"/>
  <c r="T186" i="348" s="1"/>
  <c r="M114" i="348"/>
  <c r="M174" i="348" s="1"/>
  <c r="N174" i="348" s="1"/>
  <c r="T174" i="348" s="1"/>
  <c r="M113" i="348"/>
  <c r="M115" i="348"/>
  <c r="M175" i="348" s="1"/>
  <c r="N175" i="348" s="1"/>
  <c r="T175" i="348" s="1"/>
  <c r="M124" i="348"/>
  <c r="M184" i="348" s="1"/>
  <c r="N184" i="348" s="1"/>
  <c r="T184" i="348" s="1"/>
  <c r="H152" i="348"/>
  <c r="K148" i="348"/>
  <c r="H148" i="348" s="1"/>
  <c r="H158" i="348"/>
  <c r="H156" i="348"/>
  <c r="K153" i="348"/>
  <c r="H153" i="348" s="1"/>
  <c r="K149" i="348"/>
  <c r="H149" i="348" s="1"/>
  <c r="H159" i="348"/>
  <c r="H157" i="348"/>
  <c r="K154" i="348"/>
  <c r="H154" i="348" s="1"/>
  <c r="K150" i="348"/>
  <c r="H150" i="348" s="1"/>
  <c r="K151" i="348"/>
  <c r="H151" i="348" s="1"/>
  <c r="M147" i="348"/>
  <c r="N147" i="348" s="1"/>
  <c r="M160" i="348"/>
  <c r="O160" i="348"/>
  <c r="R160" i="348" s="1"/>
  <c r="S160" i="348" s="1"/>
  <c r="L159" i="348"/>
  <c r="O159" i="348" s="1"/>
  <c r="Q113" i="348"/>
  <c r="Q126" i="348"/>
  <c r="B15" i="1"/>
  <c r="B13" i="1"/>
  <c r="B12" i="1"/>
  <c r="Q115" i="348"/>
  <c r="Q116" i="348"/>
  <c r="Q114" i="348"/>
  <c r="Q118" i="348"/>
  <c r="Q120" i="348"/>
  <c r="Q123" i="348"/>
  <c r="Q125" i="348"/>
  <c r="Q117" i="348"/>
  <c r="Q119" i="348"/>
  <c r="Q122" i="348"/>
  <c r="Q124" i="348"/>
  <c r="L150" i="348"/>
  <c r="L149" i="348"/>
  <c r="L148" i="348"/>
  <c r="D74" i="348"/>
  <c r="B21" i="1"/>
  <c r="B18" i="1"/>
  <c r="B22" i="1"/>
  <c r="B17" i="1"/>
  <c r="L157" i="348"/>
  <c r="L153" i="348"/>
  <c r="L152" i="348"/>
  <c r="M152" i="348" s="1"/>
  <c r="L158" i="348"/>
  <c r="L156" i="348"/>
  <c r="L154" i="348"/>
  <c r="L151" i="348"/>
  <c r="B16" i="1"/>
  <c r="R180" i="348"/>
  <c r="R176" i="348"/>
  <c r="R115" i="348"/>
  <c r="B14" i="1"/>
  <c r="R184" i="348"/>
  <c r="R182" i="348"/>
  <c r="R179" i="348"/>
  <c r="R177" i="348"/>
  <c r="R124" i="348"/>
  <c r="R122" i="348"/>
  <c r="R119" i="348"/>
  <c r="R117" i="348"/>
  <c r="N95" i="348" l="1"/>
  <c r="O95" i="348"/>
  <c r="R95" i="348" s="1"/>
  <c r="N155" i="348"/>
  <c r="M177" i="348"/>
  <c r="N177" i="348" s="1"/>
  <c r="T177" i="348" s="1"/>
  <c r="N117" i="348"/>
  <c r="T117" i="348" s="1"/>
  <c r="N121" i="348"/>
  <c r="T121" i="348" s="1"/>
  <c r="M181" i="348"/>
  <c r="N181" i="348" s="1"/>
  <c r="T181" i="348" s="1"/>
  <c r="U181" i="348" s="1"/>
  <c r="Q155" i="348"/>
  <c r="P155" i="348"/>
  <c r="S155" i="348"/>
  <c r="W155" i="348" s="1"/>
  <c r="X155" i="348" s="1"/>
  <c r="V181" i="348" s="1"/>
  <c r="L87" i="348"/>
  <c r="M87" i="348" s="1"/>
  <c r="O87" i="348" s="1"/>
  <c r="N126" i="348"/>
  <c r="T126" i="348" s="1"/>
  <c r="N114" i="348"/>
  <c r="T114" i="348" s="1"/>
  <c r="N116" i="348"/>
  <c r="T116" i="348" s="1"/>
  <c r="N124" i="348"/>
  <c r="T124" i="348" s="1"/>
  <c r="N125" i="348"/>
  <c r="T125" i="348" s="1"/>
  <c r="N115" i="348"/>
  <c r="T115" i="348" s="1"/>
  <c r="N118" i="348"/>
  <c r="T118" i="348" s="1"/>
  <c r="M173" i="348"/>
  <c r="N173" i="348" s="1"/>
  <c r="T173" i="348" s="1"/>
  <c r="N113" i="348"/>
  <c r="T113" i="348" s="1"/>
  <c r="X173" i="348"/>
  <c r="N160" i="348"/>
  <c r="X186" i="348"/>
  <c r="U186" i="348" s="1"/>
  <c r="L88" i="348"/>
  <c r="O154" i="348"/>
  <c r="R154" i="348" s="1"/>
  <c r="S154" i="348" s="1"/>
  <c r="O150" i="348"/>
  <c r="R150" i="348" s="1"/>
  <c r="S150" i="348" s="1"/>
  <c r="O153" i="348"/>
  <c r="R153" i="348" s="1"/>
  <c r="S153" i="348" s="1"/>
  <c r="O151" i="348"/>
  <c r="R151" i="348" s="1"/>
  <c r="S151" i="348" s="1"/>
  <c r="O156" i="348"/>
  <c r="R156" i="348" s="1"/>
  <c r="S156" i="348" s="1"/>
  <c r="O157" i="348"/>
  <c r="R157" i="348" s="1"/>
  <c r="S157" i="348" s="1"/>
  <c r="O149" i="348"/>
  <c r="L90" i="348"/>
  <c r="L89" i="348"/>
  <c r="W160" i="348"/>
  <c r="P160" i="348"/>
  <c r="L99" i="348"/>
  <c r="L100" i="348"/>
  <c r="M158" i="348"/>
  <c r="O158" i="348"/>
  <c r="M159" i="348"/>
  <c r="M157" i="348"/>
  <c r="M149" i="348"/>
  <c r="M153" i="348"/>
  <c r="O152" i="348"/>
  <c r="M154" i="348"/>
  <c r="M150" i="348"/>
  <c r="O148" i="348"/>
  <c r="M148" i="348"/>
  <c r="N120" i="348"/>
  <c r="T120" i="348" s="1"/>
  <c r="N119" i="348"/>
  <c r="T119" i="348" s="1"/>
  <c r="N123" i="348"/>
  <c r="T123" i="348" s="1"/>
  <c r="N122" i="348"/>
  <c r="T122" i="348" s="1"/>
  <c r="M151" i="348"/>
  <c r="M156" i="348"/>
  <c r="L91" i="348"/>
  <c r="L94" i="348"/>
  <c r="L98" i="348"/>
  <c r="L93" i="348"/>
  <c r="L92" i="348"/>
  <c r="L96" i="348"/>
  <c r="L97" i="348"/>
  <c r="S95" i="348" l="1"/>
  <c r="N43" i="348"/>
  <c r="K43" i="348"/>
  <c r="L43" i="348"/>
  <c r="J43" i="348"/>
  <c r="M43" i="348"/>
  <c r="N48" i="348"/>
  <c r="K48" i="348"/>
  <c r="L48" i="348"/>
  <c r="J48" i="348"/>
  <c r="W181" i="348"/>
  <c r="P43" i="348" s="1"/>
  <c r="U155" i="348"/>
  <c r="O43" i="348" s="1"/>
  <c r="U121" i="348"/>
  <c r="U173" i="348"/>
  <c r="M96" i="348"/>
  <c r="N96" i="348" s="1"/>
  <c r="U122" i="348" s="1"/>
  <c r="M94" i="348"/>
  <c r="N94" i="348" s="1"/>
  <c r="U120" i="348" s="1"/>
  <c r="C42" i="348" s="1"/>
  <c r="M93" i="348"/>
  <c r="N93" i="348" s="1"/>
  <c r="U119" i="348" s="1"/>
  <c r="C41" i="348" s="1"/>
  <c r="M100" i="348"/>
  <c r="O100" i="348" s="1"/>
  <c r="R100" i="348" s="1"/>
  <c r="M89" i="348"/>
  <c r="O89" i="348" s="1"/>
  <c r="M97" i="348"/>
  <c r="O97" i="348" s="1"/>
  <c r="M98" i="348"/>
  <c r="O98" i="348" s="1"/>
  <c r="M90" i="348"/>
  <c r="O90" i="348" s="1"/>
  <c r="M92" i="348"/>
  <c r="O92" i="348" s="1"/>
  <c r="M88" i="348"/>
  <c r="O88" i="348" s="1"/>
  <c r="P88" i="348" s="1"/>
  <c r="N154" i="348"/>
  <c r="X180" i="348"/>
  <c r="U180" i="348" s="1"/>
  <c r="N152" i="348"/>
  <c r="X178" i="348"/>
  <c r="U178" i="348" s="1"/>
  <c r="N156" i="348"/>
  <c r="X182" i="348"/>
  <c r="U182" i="348" s="1"/>
  <c r="N153" i="348"/>
  <c r="X179" i="348"/>
  <c r="U179" i="348" s="1"/>
  <c r="N159" i="348"/>
  <c r="X185" i="348"/>
  <c r="U185" i="348" s="1"/>
  <c r="N157" i="348"/>
  <c r="X183" i="348"/>
  <c r="U183" i="348" s="1"/>
  <c r="N158" i="348"/>
  <c r="X184" i="348"/>
  <c r="U184" i="348" s="1"/>
  <c r="N148" i="348"/>
  <c r="X174" i="348"/>
  <c r="U174" i="348" s="1"/>
  <c r="N151" i="348"/>
  <c r="X177" i="348"/>
  <c r="U177" i="348" s="1"/>
  <c r="K39" i="348" s="1"/>
  <c r="N150" i="348"/>
  <c r="X176" i="348"/>
  <c r="U176" i="348" s="1"/>
  <c r="N149" i="348"/>
  <c r="X175" i="348"/>
  <c r="U175" i="348" s="1"/>
  <c r="N87" i="348"/>
  <c r="U113" i="348" s="1"/>
  <c r="R149" i="348"/>
  <c r="S149" i="348" s="1"/>
  <c r="W149" i="348" s="1"/>
  <c r="X149" i="348" s="1"/>
  <c r="V175" i="348" s="1"/>
  <c r="R159" i="348"/>
  <c r="P159" i="348" s="1"/>
  <c r="R87" i="348"/>
  <c r="Q87" i="348"/>
  <c r="P87" i="348"/>
  <c r="M91" i="348"/>
  <c r="O91" i="348" s="1"/>
  <c r="M99" i="348"/>
  <c r="N99" i="348" s="1"/>
  <c r="U125" i="348" s="1"/>
  <c r="X160" i="348"/>
  <c r="V186" i="348" s="1"/>
  <c r="W186" i="348" s="1"/>
  <c r="P48" i="348" s="1"/>
  <c r="Q160" i="348"/>
  <c r="M48" i="348" s="1"/>
  <c r="P153" i="348"/>
  <c r="Q153" i="348"/>
  <c r="P150" i="348"/>
  <c r="Q150" i="348"/>
  <c r="P156" i="348"/>
  <c r="Q156" i="348"/>
  <c r="P154" i="348"/>
  <c r="Q154" i="348"/>
  <c r="P157" i="348"/>
  <c r="Q157" i="348"/>
  <c r="P151" i="348"/>
  <c r="Q151" i="348"/>
  <c r="Q147" i="348"/>
  <c r="U160" i="348"/>
  <c r="O48" i="348" s="1"/>
  <c r="W153" i="348"/>
  <c r="X153" i="348" s="1"/>
  <c r="V179" i="348" s="1"/>
  <c r="W150" i="348"/>
  <c r="X150" i="348" s="1"/>
  <c r="V176" i="348" s="1"/>
  <c r="W156" i="348"/>
  <c r="X156" i="348" s="1"/>
  <c r="V182" i="348" s="1"/>
  <c r="W154" i="348"/>
  <c r="X154" i="348" s="1"/>
  <c r="V180" i="348" s="1"/>
  <c r="W157" i="348"/>
  <c r="X157" i="348" s="1"/>
  <c r="V183" i="348" s="1"/>
  <c r="W151" i="348"/>
  <c r="X151" i="348" s="1"/>
  <c r="V177" i="348" s="1"/>
  <c r="R148" i="348"/>
  <c r="S148" i="348" s="1"/>
  <c r="R152" i="348"/>
  <c r="S152" i="348" s="1"/>
  <c r="R158" i="348"/>
  <c r="S158" i="348" s="1"/>
  <c r="K38" i="348" l="1"/>
  <c r="J38" i="348"/>
  <c r="E14" i="1" s="1"/>
  <c r="J47" i="348"/>
  <c r="K35" i="348"/>
  <c r="J35" i="348"/>
  <c r="C44" i="348"/>
  <c r="C43" i="348"/>
  <c r="E19" i="1" s="1"/>
  <c r="C47" i="348"/>
  <c r="L42" i="348"/>
  <c r="M42" i="348"/>
  <c r="N42" i="348"/>
  <c r="K42" i="348"/>
  <c r="L47" i="348"/>
  <c r="K47" i="348"/>
  <c r="K46" i="348"/>
  <c r="N46" i="348"/>
  <c r="J46" i="348"/>
  <c r="L45" i="348"/>
  <c r="M45" i="348"/>
  <c r="J45" i="348"/>
  <c r="N45" i="348"/>
  <c r="K45" i="348"/>
  <c r="N44" i="348"/>
  <c r="K44" i="348"/>
  <c r="L44" i="348"/>
  <c r="J44" i="348"/>
  <c r="E20" i="1" s="1"/>
  <c r="M44" i="348"/>
  <c r="Q95" i="348"/>
  <c r="F43" i="348" s="1"/>
  <c r="P95" i="348"/>
  <c r="E43" i="348" s="1"/>
  <c r="G43" i="348"/>
  <c r="I19" i="1" s="1"/>
  <c r="M35" i="348"/>
  <c r="N98" i="348"/>
  <c r="U124" i="348" s="1"/>
  <c r="O96" i="348"/>
  <c r="Q96" i="348" s="1"/>
  <c r="F44" i="348" s="1"/>
  <c r="N89" i="348"/>
  <c r="U115" i="348" s="1"/>
  <c r="W182" i="348"/>
  <c r="P44" i="348" s="1"/>
  <c r="O93" i="348"/>
  <c r="R93" i="348" s="1"/>
  <c r="S93" i="348" s="1"/>
  <c r="N100" i="348"/>
  <c r="U126" i="348" s="1"/>
  <c r="N92" i="348"/>
  <c r="U118" i="348" s="1"/>
  <c r="N97" i="348"/>
  <c r="U123" i="348" s="1"/>
  <c r="N90" i="348"/>
  <c r="U116" i="348" s="1"/>
  <c r="O94" i="348"/>
  <c r="Q94" i="348" s="1"/>
  <c r="F42" i="348" s="1"/>
  <c r="R88" i="348"/>
  <c r="Q88" i="348"/>
  <c r="N88" i="348"/>
  <c r="U114" i="348" s="1"/>
  <c r="W176" i="348"/>
  <c r="P38" i="348" s="1"/>
  <c r="M38" i="348"/>
  <c r="W180" i="348"/>
  <c r="P42" i="348" s="1"/>
  <c r="J37" i="348"/>
  <c r="L41" i="348"/>
  <c r="J42" i="348"/>
  <c r="J36" i="348"/>
  <c r="L38" i="348"/>
  <c r="J41" i="348"/>
  <c r="J40" i="348"/>
  <c r="K41" i="348"/>
  <c r="W177" i="348"/>
  <c r="P39" i="348" s="1"/>
  <c r="W183" i="348"/>
  <c r="P45" i="348" s="1"/>
  <c r="W179" i="348"/>
  <c r="P41" i="348" s="1"/>
  <c r="L39" i="348"/>
  <c r="W175" i="348"/>
  <c r="P37" i="348" s="1"/>
  <c r="J39" i="348"/>
  <c r="M39" i="348"/>
  <c r="M41" i="348"/>
  <c r="S87" i="348"/>
  <c r="U87" i="348" s="1"/>
  <c r="K37" i="348"/>
  <c r="P149" i="348"/>
  <c r="L37" i="348" s="1"/>
  <c r="Q159" i="348"/>
  <c r="M47" i="348" s="1"/>
  <c r="N91" i="348"/>
  <c r="U117" i="348" s="1"/>
  <c r="Q149" i="348"/>
  <c r="M37" i="348" s="1"/>
  <c r="S159" i="348"/>
  <c r="W159" i="348" s="1"/>
  <c r="X159" i="348" s="1"/>
  <c r="V185" i="348" s="1"/>
  <c r="W185" i="348" s="1"/>
  <c r="P47" i="348" s="1"/>
  <c r="P90" i="348"/>
  <c r="Q90" i="348"/>
  <c r="P89" i="348"/>
  <c r="Q89" i="348"/>
  <c r="P92" i="348"/>
  <c r="Q92" i="348"/>
  <c r="P97" i="348"/>
  <c r="Q97" i="348"/>
  <c r="P100" i="348"/>
  <c r="Q100" i="348"/>
  <c r="P98" i="348"/>
  <c r="Q98" i="348"/>
  <c r="P91" i="348"/>
  <c r="Q91" i="348"/>
  <c r="O99" i="348"/>
  <c r="R99" i="348" s="1"/>
  <c r="D47" i="348" s="1"/>
  <c r="P147" i="348"/>
  <c r="L35" i="348" s="1"/>
  <c r="P158" i="348"/>
  <c r="L46" i="348" s="1"/>
  <c r="Q158" i="348"/>
  <c r="M46" i="348" s="1"/>
  <c r="P152" i="348"/>
  <c r="L40" i="348" s="1"/>
  <c r="Q152" i="348"/>
  <c r="M40" i="348" s="1"/>
  <c r="P148" i="348"/>
  <c r="L36" i="348" s="1"/>
  <c r="Q148" i="348"/>
  <c r="M36" i="348" s="1"/>
  <c r="W147" i="348"/>
  <c r="X147" i="348" s="1"/>
  <c r="V173" i="348" s="1"/>
  <c r="W173" i="348" s="1"/>
  <c r="P35" i="348" s="1"/>
  <c r="N35" i="348"/>
  <c r="U147" i="348"/>
  <c r="O35" i="348" s="1"/>
  <c r="N41" i="348"/>
  <c r="N39" i="348"/>
  <c r="U151" i="348"/>
  <c r="O39" i="348" s="1"/>
  <c r="N38" i="348"/>
  <c r="N37" i="348"/>
  <c r="U149" i="348"/>
  <c r="O37" i="348" s="1"/>
  <c r="U156" i="348"/>
  <c r="O44" i="348" s="1"/>
  <c r="U157" i="348"/>
  <c r="O45" i="348" s="1"/>
  <c r="U154" i="348"/>
  <c r="O42" i="348" s="1"/>
  <c r="W148" i="348"/>
  <c r="X148" i="348" s="1"/>
  <c r="V174" i="348" s="1"/>
  <c r="W174" i="348" s="1"/>
  <c r="P36" i="348" s="1"/>
  <c r="U153" i="348"/>
  <c r="O41" i="348" s="1"/>
  <c r="U152" i="348"/>
  <c r="O40" i="348" s="1"/>
  <c r="U150" i="348"/>
  <c r="O38" i="348" s="1"/>
  <c r="K36" i="348"/>
  <c r="K40" i="348"/>
  <c r="R90" i="348"/>
  <c r="R89" i="348"/>
  <c r="R91" i="348"/>
  <c r="R98" i="348"/>
  <c r="R92" i="348"/>
  <c r="R97" i="348"/>
  <c r="D43" i="348" l="1"/>
  <c r="G19" i="1" s="1"/>
  <c r="N47" i="348"/>
  <c r="F48" i="348"/>
  <c r="D48" i="348"/>
  <c r="G24" i="1" s="1"/>
  <c r="C48" i="348"/>
  <c r="E24" i="1" s="1"/>
  <c r="E48" i="348"/>
  <c r="C45" i="348"/>
  <c r="F45" i="348"/>
  <c r="D45" i="348"/>
  <c r="E45" i="348"/>
  <c r="E46" i="348"/>
  <c r="F46" i="348"/>
  <c r="D46" i="348"/>
  <c r="G22" i="1" s="1"/>
  <c r="C46" i="348"/>
  <c r="E22" i="1" s="1"/>
  <c r="W95" i="348"/>
  <c r="X95" i="348" s="1"/>
  <c r="V121" i="348" s="1"/>
  <c r="W121" i="348" s="1"/>
  <c r="I43" i="348" s="1"/>
  <c r="M19" i="1" s="1"/>
  <c r="U95" i="348"/>
  <c r="H43" i="348" s="1"/>
  <c r="K19" i="1" s="1"/>
  <c r="G21" i="1"/>
  <c r="G23" i="1"/>
  <c r="E21" i="1"/>
  <c r="E23" i="1"/>
  <c r="S98" i="348"/>
  <c r="W98" i="348" s="1"/>
  <c r="S89" i="348"/>
  <c r="W89" i="348" s="1"/>
  <c r="X89" i="348" s="1"/>
  <c r="F37" i="348"/>
  <c r="P96" i="348"/>
  <c r="E44" i="348" s="1"/>
  <c r="R96" i="348"/>
  <c r="E37" i="348"/>
  <c r="P94" i="348"/>
  <c r="E42" i="348" s="1"/>
  <c r="Q93" i="348"/>
  <c r="F41" i="348" s="1"/>
  <c r="F38" i="348"/>
  <c r="P93" i="348"/>
  <c r="E41" i="348" s="1"/>
  <c r="S92" i="348"/>
  <c r="U92" i="348" s="1"/>
  <c r="H40" i="348" s="1"/>
  <c r="K16" i="1" s="1"/>
  <c r="E40" i="348"/>
  <c r="F40" i="348"/>
  <c r="S100" i="348"/>
  <c r="U100" i="348" s="1"/>
  <c r="H48" i="348" s="1"/>
  <c r="K24" i="1" s="1"/>
  <c r="S90" i="348"/>
  <c r="W90" i="348" s="1"/>
  <c r="R94" i="348"/>
  <c r="S94" i="348" s="1"/>
  <c r="U94" i="348" s="1"/>
  <c r="H42" i="348" s="1"/>
  <c r="K18" i="1" s="1"/>
  <c r="E38" i="348"/>
  <c r="S88" i="348"/>
  <c r="U88" i="348" s="1"/>
  <c r="S97" i="348"/>
  <c r="W97" i="348" s="1"/>
  <c r="D35" i="348"/>
  <c r="G11" i="1" s="1"/>
  <c r="C35" i="348"/>
  <c r="E11" i="1" s="1"/>
  <c r="E39" i="348"/>
  <c r="S91" i="348"/>
  <c r="G39" i="348" s="1"/>
  <c r="I15" i="1" s="1"/>
  <c r="F39" i="348"/>
  <c r="U159" i="348"/>
  <c r="O47" i="348" s="1"/>
  <c r="P99" i="348"/>
  <c r="E47" i="348" s="1"/>
  <c r="Q99" i="348"/>
  <c r="F47" i="348" s="1"/>
  <c r="S99" i="348"/>
  <c r="G47" i="348" s="1"/>
  <c r="G35" i="348"/>
  <c r="I11" i="1" s="1"/>
  <c r="E35" i="348"/>
  <c r="F35" i="348"/>
  <c r="W87" i="348"/>
  <c r="X87" i="348" s="1"/>
  <c r="H35" i="348"/>
  <c r="K11" i="1" s="1"/>
  <c r="N36" i="348"/>
  <c r="U148" i="348"/>
  <c r="O36" i="348" s="1"/>
  <c r="W152" i="348"/>
  <c r="X152" i="348" s="1"/>
  <c r="V178" i="348" s="1"/>
  <c r="W178" i="348" s="1"/>
  <c r="P40" i="348" s="1"/>
  <c r="N40" i="348"/>
  <c r="W158" i="348"/>
  <c r="X158" i="348" s="1"/>
  <c r="V184" i="348" s="1"/>
  <c r="W184" i="348" s="1"/>
  <c r="P46" i="348" s="1"/>
  <c r="U158" i="348"/>
  <c r="O46" i="348" s="1"/>
  <c r="D41" i="348"/>
  <c r="G17" i="1" s="1"/>
  <c r="E17" i="1"/>
  <c r="G41" i="348"/>
  <c r="I17" i="1" s="1"/>
  <c r="D39" i="348"/>
  <c r="G15" i="1" s="1"/>
  <c r="C39" i="348"/>
  <c r="E15" i="1" s="1"/>
  <c r="D37" i="348"/>
  <c r="G13" i="1" s="1"/>
  <c r="C37" i="348"/>
  <c r="E13" i="1" s="1"/>
  <c r="E18" i="1"/>
  <c r="D38" i="348"/>
  <c r="G14" i="1" s="1"/>
  <c r="C38" i="348"/>
  <c r="D40" i="348"/>
  <c r="G16" i="1" s="1"/>
  <c r="C40" i="348"/>
  <c r="E16" i="1" s="1"/>
  <c r="W93" i="348"/>
  <c r="U93" i="348"/>
  <c r="H41" i="348" s="1"/>
  <c r="K17" i="1" s="1"/>
  <c r="G48" i="348" l="1"/>
  <c r="I24" i="1" s="1"/>
  <c r="G45" i="348"/>
  <c r="I21" i="1" s="1"/>
  <c r="G46" i="348"/>
  <c r="S96" i="348"/>
  <c r="U96" i="348" s="1"/>
  <c r="H44" i="348" s="1"/>
  <c r="K20" i="1" s="1"/>
  <c r="D44" i="348"/>
  <c r="G20" i="1" s="1"/>
  <c r="G36" i="348"/>
  <c r="I12" i="1" s="1"/>
  <c r="I22" i="1"/>
  <c r="I23" i="1"/>
  <c r="U89" i="348"/>
  <c r="H37" i="348" s="1"/>
  <c r="K13" i="1" s="1"/>
  <c r="U98" i="348"/>
  <c r="H46" i="348" s="1"/>
  <c r="K22" i="1" s="1"/>
  <c r="G37" i="348"/>
  <c r="I13" i="1" s="1"/>
  <c r="W94" i="348"/>
  <c r="X94" i="348" s="1"/>
  <c r="V120" i="348" s="1"/>
  <c r="W120" i="348" s="1"/>
  <c r="G40" i="348"/>
  <c r="I16" i="1" s="1"/>
  <c r="W92" i="348"/>
  <c r="X92" i="348" s="1"/>
  <c r="V118" i="348" s="1"/>
  <c r="W118" i="348" s="1"/>
  <c r="I40" i="348" s="1"/>
  <c r="M16" i="1" s="1"/>
  <c r="U90" i="348"/>
  <c r="H38" i="348" s="1"/>
  <c r="K14" i="1" s="1"/>
  <c r="G38" i="348"/>
  <c r="I14" i="1" s="1"/>
  <c r="G42" i="348"/>
  <c r="I18" i="1" s="1"/>
  <c r="D42" i="348"/>
  <c r="G18" i="1" s="1"/>
  <c r="W100" i="348"/>
  <c r="X100" i="348" s="1"/>
  <c r="V126" i="348" s="1"/>
  <c r="W126" i="348" s="1"/>
  <c r="I48" i="348" s="1"/>
  <c r="M24" i="1" s="1"/>
  <c r="X90" i="348"/>
  <c r="V116" i="348" s="1"/>
  <c r="W116" i="348" s="1"/>
  <c r="I38" i="348" s="1"/>
  <c r="M14" i="1" s="1"/>
  <c r="X93" i="348"/>
  <c r="V119" i="348" s="1"/>
  <c r="W119" i="348" s="1"/>
  <c r="I41" i="348" s="1"/>
  <c r="M17" i="1" s="1"/>
  <c r="X98" i="348"/>
  <c r="V124" i="348" s="1"/>
  <c r="W124" i="348" s="1"/>
  <c r="I46" i="348" s="1"/>
  <c r="M22" i="1" s="1"/>
  <c r="X97" i="348"/>
  <c r="V123" i="348" s="1"/>
  <c r="W123" i="348" s="1"/>
  <c r="I45" i="348" s="1"/>
  <c r="M21" i="1" s="1"/>
  <c r="W88" i="348"/>
  <c r="X88" i="348" s="1"/>
  <c r="V114" i="348" s="1"/>
  <c r="W114" i="348" s="1"/>
  <c r="I36" i="348" s="1"/>
  <c r="M12" i="1" s="1"/>
  <c r="U97" i="348"/>
  <c r="H45" i="348" s="1"/>
  <c r="K21" i="1" s="1"/>
  <c r="H36" i="348"/>
  <c r="K12" i="1" s="1"/>
  <c r="D36" i="348"/>
  <c r="G12" i="1" s="1"/>
  <c r="E36" i="348"/>
  <c r="F36" i="348"/>
  <c r="C36" i="348"/>
  <c r="E12" i="1" s="1"/>
  <c r="W91" i="348"/>
  <c r="U91" i="348"/>
  <c r="H39" i="348" s="1"/>
  <c r="K15" i="1" s="1"/>
  <c r="U99" i="348"/>
  <c r="H47" i="348" s="1"/>
  <c r="K23" i="1" s="1"/>
  <c r="W99" i="348"/>
  <c r="V113" i="348"/>
  <c r="V115" i="348"/>
  <c r="W115" i="348" s="1"/>
  <c r="I37" i="348" s="1"/>
  <c r="M13" i="1" s="1"/>
  <c r="W96" i="348" l="1"/>
  <c r="X96" i="348" s="1"/>
  <c r="V122" i="348" s="1"/>
  <c r="W122" i="348" s="1"/>
  <c r="I44" i="348" s="1"/>
  <c r="M20" i="1" s="1"/>
  <c r="G44" i="348"/>
  <c r="I20" i="1" s="1"/>
  <c r="X91" i="348"/>
  <c r="V117" i="348" s="1"/>
  <c r="W117" i="348" s="1"/>
  <c r="I39" i="348" s="1"/>
  <c r="M15" i="1" s="1"/>
  <c r="X99" i="348"/>
  <c r="V125" i="348" s="1"/>
  <c r="W125" i="348" s="1"/>
  <c r="I47" i="348" s="1"/>
  <c r="M23" i="1" s="1"/>
  <c r="W113" i="348"/>
  <c r="I35" i="348" s="1"/>
  <c r="M11" i="1" s="1"/>
  <c r="I42" i="348"/>
  <c r="M18" i="1" s="1"/>
</calcChain>
</file>

<file path=xl/sharedStrings.xml><?xml version="1.0" encoding="utf-8"?>
<sst xmlns="http://schemas.openxmlformats.org/spreadsheetml/2006/main" count="219" uniqueCount="129">
  <si>
    <t>lm/W</t>
  </si>
  <si>
    <t>Series</t>
  </si>
  <si>
    <t>Parallel</t>
  </si>
  <si>
    <t>Judgement</t>
  </si>
  <si>
    <t>U/L</t>
  </si>
  <si>
    <t>L/L</t>
  </si>
  <si>
    <t>IF Limit</t>
  </si>
  <si>
    <t>Tj Limit</t>
  </si>
  <si>
    <t>Tj</t>
  </si>
  <si>
    <t>CCT,Ra</t>
    <phoneticPr fontId="3"/>
  </si>
  <si>
    <t>Tc (C)</t>
    <phoneticPr fontId="3"/>
  </si>
  <si>
    <t>Product code</t>
    <phoneticPr fontId="3"/>
  </si>
  <si>
    <t>Tj (C)</t>
    <phoneticPr fontId="3"/>
  </si>
  <si>
    <t>Code</t>
    <phoneticPr fontId="3"/>
  </si>
  <si>
    <t>CITILED is a registered trademark of CITIZEN ELECTRONICS CO., LTD. Japan.</t>
    <phoneticPr fontId="3"/>
  </si>
  <si>
    <t>Series</t>
    <phoneticPr fontId="3"/>
  </si>
  <si>
    <t>CCT&amp;Ra</t>
    <phoneticPr fontId="3"/>
  </si>
  <si>
    <t>Color code</t>
    <phoneticPr fontId="3"/>
  </si>
  <si>
    <t>Phosphor</t>
    <phoneticPr fontId="3"/>
  </si>
  <si>
    <t>Luminous flux</t>
    <phoneticPr fontId="3"/>
  </si>
  <si>
    <t>If (mA)</t>
    <phoneticPr fontId="3"/>
  </si>
  <si>
    <t>Pd (W)</t>
    <phoneticPr fontId="3"/>
  </si>
  <si>
    <t>lm/W</t>
    <phoneticPr fontId="3"/>
  </si>
  <si>
    <t>lm</t>
    <phoneticPr fontId="3"/>
  </si>
  <si>
    <t>Forward current</t>
    <phoneticPr fontId="3"/>
  </si>
  <si>
    <t>φv (lm)</t>
    <phoneticPr fontId="3"/>
  </si>
  <si>
    <t>mA</t>
    <phoneticPr fontId="3"/>
  </si>
  <si>
    <t>Vf</t>
    <phoneticPr fontId="3"/>
  </si>
  <si>
    <t>W</t>
    <phoneticPr fontId="3"/>
  </si>
  <si>
    <t>[Luminous flux]</t>
    <phoneticPr fontId="3"/>
  </si>
  <si>
    <t>[Forward current]</t>
    <phoneticPr fontId="3"/>
  </si>
  <si>
    <t>Limit</t>
    <phoneticPr fontId="3"/>
  </si>
  <si>
    <t>IF Limit</t>
    <phoneticPr fontId="3"/>
  </si>
  <si>
    <t>L/L</t>
    <phoneticPr fontId="3"/>
  </si>
  <si>
    <t>U/L</t>
    <phoneticPr fontId="3"/>
  </si>
  <si>
    <t>Tj Limit</t>
    <phoneticPr fontId="3"/>
  </si>
  <si>
    <t>IF(x)-lm%(y)</t>
    <phoneticPr fontId="3"/>
  </si>
  <si>
    <t>lm%(x)-IF(y)</t>
    <phoneticPr fontId="3"/>
  </si>
  <si>
    <t>IF(x)-VF%(y)</t>
    <phoneticPr fontId="3"/>
  </si>
  <si>
    <t>Tc(x)-lm%(y)</t>
    <phoneticPr fontId="3"/>
  </si>
  <si>
    <t>Tc(x)-VF%(y)</t>
    <phoneticPr fontId="3"/>
  </si>
  <si>
    <t>a</t>
    <phoneticPr fontId="3"/>
  </si>
  <si>
    <t>b</t>
    <phoneticPr fontId="3"/>
  </si>
  <si>
    <t>c</t>
    <phoneticPr fontId="3"/>
  </si>
  <si>
    <t>VF</t>
    <phoneticPr fontId="3"/>
  </si>
  <si>
    <t>Tc</t>
    <phoneticPr fontId="3"/>
  </si>
  <si>
    <t>lm Tc-compensation</t>
    <phoneticPr fontId="3"/>
  </si>
  <si>
    <t>lm/die</t>
    <phoneticPr fontId="3"/>
  </si>
  <si>
    <t>lm%</t>
    <phoneticPr fontId="3"/>
  </si>
  <si>
    <t>IF/die</t>
    <phoneticPr fontId="3"/>
  </si>
  <si>
    <t>IF/PKG</t>
    <phoneticPr fontId="3"/>
  </si>
  <si>
    <t>VF Tc-compensation</t>
    <phoneticPr fontId="3"/>
  </si>
  <si>
    <t>Rj-c</t>
    <phoneticPr fontId="3"/>
  </si>
  <si>
    <t>Tj</t>
    <phoneticPr fontId="3"/>
  </si>
  <si>
    <t>Judgement</t>
    <phoneticPr fontId="3"/>
  </si>
  <si>
    <t>Shown</t>
    <phoneticPr fontId="3"/>
  </si>
  <si>
    <t>mA</t>
    <phoneticPr fontId="3"/>
  </si>
  <si>
    <t>Tc</t>
    <phoneticPr fontId="3"/>
  </si>
  <si>
    <t>d</t>
    <phoneticPr fontId="3"/>
  </si>
  <si>
    <t>d</t>
    <phoneticPr fontId="3"/>
  </si>
  <si>
    <t>Tc Limit</t>
    <phoneticPr fontId="3"/>
  </si>
  <si>
    <t>Tc Limit</t>
    <phoneticPr fontId="3"/>
  </si>
  <si>
    <t>IF Limit</t>
    <phoneticPr fontId="3"/>
  </si>
  <si>
    <t>U/L</t>
    <phoneticPr fontId="3"/>
  </si>
  <si>
    <t>Vf_min (V)</t>
  </si>
  <si>
    <t>Vf_max (V)</t>
  </si>
  <si>
    <t>Vfmin</t>
  </si>
  <si>
    <t>Vfmin</t>
    <phoneticPr fontId="3"/>
  </si>
  <si>
    <t>Vfmax</t>
  </si>
  <si>
    <t>Vfmax</t>
    <phoneticPr fontId="3"/>
  </si>
  <si>
    <t>Vftyp</t>
    <phoneticPr fontId="3"/>
  </si>
  <si>
    <t>Vf</t>
  </si>
  <si>
    <t>If</t>
  </si>
  <si>
    <t>This selection tool is the reference material for selecting suitable products.</t>
  </si>
  <si>
    <t>When electing to use a product, please be sure to request a delivery and specifications manual and check the contents.</t>
  </si>
  <si>
    <t>CITIZEN ELECTRONICS CO., LTD. shall not be liable for any disadvantages or damages, which your company may receive, resulting from the use of selection tool.</t>
  </si>
  <si>
    <t>Product names and specifications in this selection tool are subject to change without notice for the purpose of improvement, or manufacturing may be discontinued.</t>
  </si>
  <si>
    <t>90mA,Tc25C</t>
    <phoneticPr fontId="3"/>
  </si>
  <si>
    <t>Vf (V)</t>
    <phoneticPr fontId="3"/>
  </si>
  <si>
    <t>Vf (V)</t>
    <phoneticPr fontId="3"/>
  </si>
  <si>
    <t>NA</t>
    <phoneticPr fontId="3"/>
  </si>
  <si>
    <t>lumen</t>
    <phoneticPr fontId="3"/>
  </si>
  <si>
    <t>90mA,Tj=85C</t>
    <phoneticPr fontId="3"/>
  </si>
  <si>
    <t>IF(x)-lm%(y)</t>
    <phoneticPr fontId="3"/>
  </si>
  <si>
    <t>CLU028-1201C4</t>
  </si>
  <si>
    <t>CLU028-1202C4</t>
  </si>
  <si>
    <t>CLU028-1203C4</t>
  </si>
  <si>
    <t>CLU028-1204C4</t>
  </si>
  <si>
    <t>CLU038-1205C4</t>
  </si>
  <si>
    <t>CLU038-1206C4</t>
  </si>
  <si>
    <t>CLU038-1208C4</t>
  </si>
  <si>
    <t>CLU038-1210C4</t>
  </si>
  <si>
    <t>CLU048-1212C4</t>
  </si>
  <si>
    <t>CLU048-1812C4</t>
  </si>
  <si>
    <t>CLU048-1818C4</t>
  </si>
  <si>
    <t>CLU058-1825C4</t>
  </si>
  <si>
    <t>CLU058-3618C4</t>
  </si>
  <si>
    <t>C4</t>
  </si>
  <si>
    <r>
      <t>Tc=25C</t>
    </r>
    <r>
      <rPr>
        <b/>
        <sz val="10"/>
        <color theme="0"/>
        <rFont val="メイリオ"/>
        <family val="3"/>
        <charset val="128"/>
      </rPr>
      <t>定格</t>
    </r>
    <r>
      <rPr>
        <b/>
        <sz val="10"/>
        <color theme="0"/>
        <rFont val="Arial"/>
        <family val="2"/>
      </rPr>
      <t>Lm</t>
    </r>
    <r>
      <rPr>
        <b/>
        <sz val="10"/>
        <color theme="0"/>
        <rFont val="メイリオ"/>
        <family val="3"/>
        <charset val="128"/>
      </rPr>
      <t>係数</t>
    </r>
    <rPh sb="6" eb="8">
      <t>テイカク</t>
    </rPh>
    <rPh sb="10" eb="12">
      <t>ケイスウ</t>
    </rPh>
    <phoneticPr fontId="17"/>
  </si>
  <si>
    <t>CLU048-1211C4</t>
    <phoneticPr fontId="3"/>
  </si>
  <si>
    <t>5000K,Brilliant</t>
    <phoneticPr fontId="3"/>
  </si>
  <si>
    <t>4000K,Brilliant</t>
    <phoneticPr fontId="3"/>
  </si>
  <si>
    <t>3500K,Brilliant</t>
    <phoneticPr fontId="3"/>
  </si>
  <si>
    <t>3000K,Brilliant</t>
    <phoneticPr fontId="3"/>
  </si>
  <si>
    <t>2700K,Brilliant</t>
    <phoneticPr fontId="3"/>
  </si>
  <si>
    <t>5000K,Natural</t>
    <phoneticPr fontId="3"/>
  </si>
  <si>
    <t>4000K,Natural</t>
    <phoneticPr fontId="3"/>
  </si>
  <si>
    <t>3500K,Natural</t>
    <phoneticPr fontId="3"/>
  </si>
  <si>
    <t>3000K,Natural</t>
    <phoneticPr fontId="3"/>
  </si>
  <si>
    <t>2700K,Natural</t>
    <phoneticPr fontId="3"/>
  </si>
  <si>
    <t>50BV1</t>
    <phoneticPr fontId="3"/>
  </si>
  <si>
    <t>40BV1</t>
    <phoneticPr fontId="3"/>
  </si>
  <si>
    <t>35BV1</t>
    <phoneticPr fontId="3"/>
  </si>
  <si>
    <t>30BV1</t>
    <phoneticPr fontId="3"/>
  </si>
  <si>
    <t>27BV1</t>
    <phoneticPr fontId="3"/>
  </si>
  <si>
    <t>50NV1</t>
    <phoneticPr fontId="3"/>
  </si>
  <si>
    <t>40NV1</t>
    <phoneticPr fontId="3"/>
  </si>
  <si>
    <t>35NV1</t>
    <phoneticPr fontId="3"/>
  </si>
  <si>
    <t>30NV1</t>
    <phoneticPr fontId="3"/>
  </si>
  <si>
    <t>27NV1</t>
    <phoneticPr fontId="3"/>
  </si>
  <si>
    <t>N3</t>
    <phoneticPr fontId="3"/>
  </si>
  <si>
    <t>N2</t>
    <phoneticPr fontId="3"/>
  </si>
  <si>
    <t>Ver0.9</t>
    <phoneticPr fontId="3"/>
  </si>
  <si>
    <r>
      <rPr>
        <b/>
        <sz val="16"/>
        <rFont val="メイリオ"/>
        <family val="3"/>
        <charset val="128"/>
      </rPr>
      <t>係数</t>
    </r>
    <rPh sb="0" eb="2">
      <t>ケイスウ</t>
    </rPh>
    <phoneticPr fontId="3"/>
  </si>
  <si>
    <r>
      <t>y=ax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+bx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+cx+d/y=ax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+bx+c</t>
    </r>
    <phoneticPr fontId="3"/>
  </si>
  <si>
    <r>
      <rPr>
        <sz val="11"/>
        <rFont val="メイリオ"/>
        <family val="3"/>
        <charset val="128"/>
      </rPr>
      <t>⊿</t>
    </r>
    <r>
      <rPr>
        <sz val="11"/>
        <rFont val="Arial"/>
        <family val="2"/>
      </rPr>
      <t>T j-c</t>
    </r>
    <phoneticPr fontId="3"/>
  </si>
  <si>
    <r>
      <rPr>
        <sz val="11"/>
        <rFont val="メイリオ"/>
        <family val="3"/>
        <charset val="128"/>
      </rPr>
      <t>ディレーティングカーブ</t>
    </r>
    <phoneticPr fontId="3"/>
  </si>
  <si>
    <r>
      <rPr>
        <sz val="11"/>
        <rFont val="メイリオ"/>
        <family val="3"/>
        <charset val="128"/>
      </rPr>
      <t>傾き</t>
    </r>
    <rPh sb="0" eb="1">
      <t>カタム</t>
    </rPh>
    <phoneticPr fontId="3"/>
  </si>
  <si>
    <r>
      <rPr>
        <sz val="11"/>
        <rFont val="メイリオ"/>
        <family val="3"/>
        <charset val="128"/>
      </rPr>
      <t>切片</t>
    </r>
    <rPh sb="0" eb="2">
      <t>セッペン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</si>
</sst>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&quot;℃&quot;"/>
    <numFmt numFmtId="165" formatCode="0.0%"/>
    <numFmt numFmtId="166" formatCode="0.0"/>
    <numFmt numFmtId="167" formatCode="0.0000"/>
    <numFmt numFmtId="168" formatCode="0.000"/>
    <numFmt numFmtId="169" formatCode="0.000%"/>
    <numFmt numFmtId="170" formatCode="0.0_ "/>
    <numFmt numFmtId="171" formatCode="0.0_);[Red]\(0.0\)"/>
    <numFmt numFmtId="172" formatCode="0_ "/>
    <numFmt numFmtId="173" formatCode="0_);[Red]\(0\)"/>
    <numFmt numFmtId="174" formatCode="0.0000E+00"/>
    <numFmt numFmtId="175" formatCode="0.0000.E+00"/>
    <numFmt numFmtId="176" formatCode="0.0000%"/>
    <numFmt numFmtId="177" formatCode="0.000000000000%"/>
    <numFmt numFmtId="178" formatCode="0.000000000000000000%"/>
    <numFmt numFmtId="179" formatCode="0_ ;[Red]\-0\ "/>
  </numFmts>
  <fonts count="21">
    <font>
      <sz val="11"/>
      <name val="ＭＳ Ｐゴシック"/>
      <charset val="128"/>
    </font>
    <font>
      <sz val="11"/>
      <color theme="1"/>
      <name val="Arial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b/>
      <sz val="10"/>
      <color theme="0"/>
      <name val="メイリオ"/>
      <family val="3"/>
      <charset val="128"/>
    </font>
    <font>
      <sz val="6"/>
      <name val="Arial"/>
      <family val="2"/>
      <charset val="128"/>
    </font>
    <font>
      <b/>
      <sz val="10"/>
      <color theme="0"/>
      <name val="Arial"/>
      <family val="2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12"/>
      </left>
      <right style="medium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32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4" fillId="3" borderId="3" xfId="2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8" fillId="2" borderId="0" xfId="0" applyFont="1" applyFill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/>
    <xf numFmtId="0" fontId="7" fillId="2" borderId="0" xfId="0" applyFont="1" applyFill="1" applyAlignment="1">
      <alignment horizontal="right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5" fillId="9" borderId="0" xfId="0" applyFont="1" applyFill="1" applyBorder="1" applyProtection="1">
      <protection hidden="1"/>
    </xf>
    <xf numFmtId="165" fontId="5" fillId="9" borderId="0" xfId="1" applyNumberFormat="1" applyFont="1" applyFill="1" applyBorder="1"/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0" fontId="8" fillId="9" borderId="0" xfId="0" applyFont="1" applyFill="1" applyBorder="1" applyAlignment="1" applyProtection="1">
      <alignment horizontal="center" vertical="center" wrapText="1"/>
      <protection hidden="1"/>
    </xf>
    <xf numFmtId="0" fontId="8" fillId="9" borderId="0" xfId="0" applyFont="1" applyFill="1" applyBorder="1" applyAlignment="1" applyProtection="1">
      <alignment horizontal="left" vertical="center"/>
      <protection hidden="1"/>
    </xf>
    <xf numFmtId="0" fontId="5" fillId="9" borderId="0" xfId="0" applyFont="1" applyFill="1" applyBorder="1" applyAlignment="1" applyProtection="1">
      <alignment horizontal="left" vertical="center" wrapText="1"/>
      <protection hidden="1"/>
    </xf>
    <xf numFmtId="0" fontId="8" fillId="9" borderId="0" xfId="0" applyFont="1" applyFill="1" applyBorder="1" applyAlignment="1" applyProtection="1">
      <alignment horizontal="left" vertical="center" wrapText="1"/>
      <protection hidden="1"/>
    </xf>
    <xf numFmtId="0" fontId="5" fillId="9" borderId="0" xfId="0" applyFont="1" applyFill="1"/>
    <xf numFmtId="0" fontId="8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70" fontId="5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vertical="center"/>
    </xf>
    <xf numFmtId="165" fontId="5" fillId="9" borderId="0" xfId="1" applyNumberFormat="1" applyFont="1" applyFill="1"/>
    <xf numFmtId="9" fontId="5" fillId="9" borderId="0" xfId="0" applyNumberFormat="1" applyFont="1" applyFill="1"/>
    <xf numFmtId="0" fontId="5" fillId="9" borderId="0" xfId="0" applyFont="1" applyFill="1" applyAlignment="1">
      <alignment horizontal="left"/>
    </xf>
    <xf numFmtId="0" fontId="5" fillId="9" borderId="0" xfId="0" applyFont="1" applyFill="1" applyAlignment="1">
      <alignment horizontal="center" vertical="center"/>
    </xf>
    <xf numFmtId="166" fontId="5" fillId="9" borderId="0" xfId="0" applyNumberFormat="1" applyFont="1" applyFill="1" applyAlignment="1">
      <alignment horizontal="center" vertical="center"/>
    </xf>
    <xf numFmtId="171" fontId="5" fillId="9" borderId="0" xfId="0" applyNumberFormat="1" applyFont="1" applyFill="1" applyAlignment="1">
      <alignment vertical="center"/>
    </xf>
    <xf numFmtId="0" fontId="5" fillId="9" borderId="0" xfId="0" applyNumberFormat="1" applyFont="1" applyFill="1" applyAlignment="1">
      <alignment vertical="center"/>
    </xf>
    <xf numFmtId="166" fontId="5" fillId="9" borderId="0" xfId="0" applyNumberFormat="1" applyFont="1" applyFill="1" applyAlignment="1">
      <alignment vertical="center"/>
    </xf>
    <xf numFmtId="0" fontId="5" fillId="9" borderId="0" xfId="0" applyFont="1" applyFill="1" applyBorder="1" applyAlignment="1" applyProtection="1">
      <alignment vertical="center" wrapText="1"/>
      <protection hidden="1"/>
    </xf>
    <xf numFmtId="0" fontId="5" fillId="9" borderId="0" xfId="0" applyFont="1" applyFill="1" applyBorder="1" applyAlignment="1" applyProtection="1">
      <alignment vertical="center"/>
      <protection hidden="1"/>
    </xf>
    <xf numFmtId="0" fontId="5" fillId="9" borderId="0" xfId="0" applyFont="1" applyFill="1" applyBorder="1" applyAlignment="1">
      <alignment vertical="center"/>
    </xf>
    <xf numFmtId="0" fontId="5" fillId="9" borderId="0" xfId="0" applyFont="1" applyFill="1" applyBorder="1" applyAlignment="1" applyProtection="1">
      <alignment vertical="center" shrinkToFit="1"/>
      <protection hidden="1"/>
    </xf>
    <xf numFmtId="0" fontId="7" fillId="9" borderId="0" xfId="0" applyFont="1" applyFill="1" applyBorder="1" applyAlignment="1" applyProtection="1">
      <alignment vertical="center" shrinkToFit="1"/>
      <protection hidden="1"/>
    </xf>
    <xf numFmtId="165" fontId="5" fillId="9" borderId="0" xfId="1" applyNumberFormat="1" applyFont="1" applyFill="1" applyBorder="1" applyAlignment="1">
      <alignment vertical="center"/>
    </xf>
    <xf numFmtId="0" fontId="4" fillId="9" borderId="0" xfId="0" applyFont="1" applyFill="1" applyBorder="1" applyAlignment="1" applyProtection="1">
      <alignment vertical="center"/>
      <protection hidden="1"/>
    </xf>
    <xf numFmtId="1" fontId="5" fillId="9" borderId="0" xfId="0" applyNumberFormat="1" applyFont="1" applyFill="1" applyBorder="1" applyAlignment="1" applyProtection="1">
      <alignment vertical="center"/>
      <protection hidden="1"/>
    </xf>
    <xf numFmtId="166" fontId="5" fillId="9" borderId="0" xfId="0" applyNumberFormat="1" applyFont="1" applyFill="1" applyBorder="1" applyAlignment="1" applyProtection="1">
      <alignment vertical="center"/>
      <protection hidden="1"/>
    </xf>
    <xf numFmtId="0" fontId="12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176" fontId="5" fillId="9" borderId="0" xfId="1" applyNumberFormat="1" applyFont="1" applyFill="1" applyBorder="1" applyAlignment="1" applyProtection="1">
      <alignment vertical="center"/>
      <protection hidden="1"/>
    </xf>
    <xf numFmtId="9" fontId="5" fillId="9" borderId="0" xfId="1" applyFont="1" applyFill="1" applyBorder="1" applyAlignment="1" applyProtection="1">
      <alignment vertical="center"/>
      <protection hidden="1"/>
    </xf>
    <xf numFmtId="176" fontId="5" fillId="9" borderId="0" xfId="0" applyNumberFormat="1" applyFont="1" applyFill="1" applyBorder="1" applyAlignment="1" applyProtection="1">
      <alignment vertical="center"/>
      <protection hidden="1"/>
    </xf>
    <xf numFmtId="178" fontId="5" fillId="9" borderId="0" xfId="0" applyNumberFormat="1" applyFont="1" applyFill="1" applyBorder="1" applyAlignment="1" applyProtection="1">
      <alignment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2" fontId="5" fillId="9" borderId="0" xfId="0" applyNumberFormat="1" applyFont="1" applyFill="1" applyBorder="1" applyAlignment="1" applyProtection="1">
      <alignment vertical="center"/>
      <protection hidden="1"/>
    </xf>
    <xf numFmtId="10" fontId="5" fillId="9" borderId="0" xfId="0" applyNumberFormat="1" applyFont="1" applyFill="1" applyBorder="1" applyAlignment="1" applyProtection="1">
      <alignment vertical="center"/>
      <protection hidden="1"/>
    </xf>
    <xf numFmtId="167" fontId="5" fillId="9" borderId="0" xfId="0" applyNumberFormat="1" applyFont="1" applyFill="1" applyBorder="1" applyAlignment="1" applyProtection="1">
      <alignment vertical="center"/>
      <protection hidden="1"/>
    </xf>
    <xf numFmtId="9" fontId="5" fillId="9" borderId="0" xfId="0" applyNumberFormat="1" applyFont="1" applyFill="1" applyBorder="1" applyAlignment="1" applyProtection="1">
      <alignment vertical="center"/>
      <protection hidden="1"/>
    </xf>
    <xf numFmtId="170" fontId="4" fillId="9" borderId="0" xfId="0" applyNumberFormat="1" applyFont="1" applyFill="1" applyBorder="1" applyAlignment="1">
      <alignment vertical="center"/>
    </xf>
    <xf numFmtId="9" fontId="4" fillId="9" borderId="0" xfId="1" applyNumberFormat="1" applyFont="1" applyFill="1" applyBorder="1" applyAlignment="1" applyProtection="1">
      <alignment vertical="center"/>
      <protection hidden="1"/>
    </xf>
    <xf numFmtId="177" fontId="5" fillId="9" borderId="0" xfId="0" applyNumberFormat="1" applyFont="1" applyFill="1" applyBorder="1" applyAlignment="1">
      <alignment vertical="center"/>
    </xf>
    <xf numFmtId="38" fontId="14" fillId="9" borderId="0" xfId="0" applyNumberFormat="1" applyFont="1" applyFill="1" applyBorder="1" applyAlignment="1" applyProtection="1">
      <alignment vertical="center"/>
      <protection hidden="1"/>
    </xf>
    <xf numFmtId="165" fontId="5" fillId="9" borderId="0" xfId="1" applyNumberFormat="1" applyFont="1" applyFill="1" applyBorder="1" applyAlignment="1" applyProtection="1">
      <alignment vertical="center"/>
      <protection hidden="1"/>
    </xf>
    <xf numFmtId="1" fontId="14" fillId="9" borderId="0" xfId="0" applyNumberFormat="1" applyFont="1" applyFill="1" applyBorder="1" applyAlignment="1" applyProtection="1">
      <alignment vertical="center"/>
      <protection hidden="1"/>
    </xf>
    <xf numFmtId="169" fontId="5" fillId="9" borderId="0" xfId="1" applyNumberFormat="1" applyFont="1" applyFill="1" applyBorder="1" applyAlignment="1" applyProtection="1">
      <alignment vertical="center"/>
      <protection hidden="1"/>
    </xf>
    <xf numFmtId="0" fontId="5" fillId="9" borderId="0" xfId="0" applyFont="1" applyFill="1" applyBorder="1" applyAlignment="1" applyProtection="1">
      <alignment horizontal="right" vertical="center"/>
      <protection hidden="1"/>
    </xf>
    <xf numFmtId="0" fontId="4" fillId="9" borderId="0" xfId="0" applyFont="1" applyFill="1" applyBorder="1" applyAlignment="1" applyProtection="1">
      <alignment horizontal="center" vertical="center"/>
      <protection hidden="1"/>
    </xf>
    <xf numFmtId="0" fontId="4" fillId="9" borderId="0" xfId="0" applyFont="1" applyFill="1" applyBorder="1" applyAlignment="1" applyProtection="1">
      <alignment horizontal="center" vertical="center" shrinkToFit="1"/>
      <protection hidden="1"/>
    </xf>
    <xf numFmtId="1" fontId="4" fillId="9" borderId="0" xfId="0" applyNumberFormat="1" applyFont="1" applyFill="1" applyBorder="1" applyAlignment="1" applyProtection="1">
      <alignment vertical="center"/>
      <protection hidden="1"/>
    </xf>
    <xf numFmtId="170" fontId="5" fillId="9" borderId="0" xfId="1" applyNumberFormat="1" applyFont="1" applyFill="1" applyBorder="1" applyAlignment="1" applyProtection="1">
      <alignment vertical="center"/>
      <protection hidden="1"/>
    </xf>
    <xf numFmtId="170" fontId="4" fillId="9" borderId="0" xfId="1" applyNumberFormat="1" applyFont="1" applyFill="1" applyBorder="1" applyAlignment="1" applyProtection="1">
      <alignment vertical="center"/>
      <protection hidden="1"/>
    </xf>
    <xf numFmtId="166" fontId="4" fillId="9" borderId="0" xfId="0" applyNumberFormat="1" applyFont="1" applyFill="1" applyBorder="1" applyAlignment="1" applyProtection="1">
      <alignment vertical="center"/>
      <protection hidden="1"/>
    </xf>
    <xf numFmtId="175" fontId="5" fillId="9" borderId="0" xfId="0" applyNumberFormat="1" applyFont="1" applyFill="1" applyBorder="1" applyAlignment="1">
      <alignment vertical="center"/>
    </xf>
    <xf numFmtId="167" fontId="15" fillId="9" borderId="0" xfId="0" applyNumberFormat="1" applyFont="1" applyFill="1" applyBorder="1" applyAlignment="1" applyProtection="1">
      <alignment vertical="center"/>
      <protection hidden="1"/>
    </xf>
    <xf numFmtId="9" fontId="15" fillId="9" borderId="0" xfId="0" applyNumberFormat="1" applyFont="1" applyFill="1" applyBorder="1" applyAlignment="1" applyProtection="1">
      <alignment vertical="center"/>
      <protection hidden="1"/>
    </xf>
    <xf numFmtId="166" fontId="15" fillId="9" borderId="0" xfId="0" applyNumberFormat="1" applyFont="1" applyFill="1" applyBorder="1" applyAlignment="1" applyProtection="1">
      <alignment vertical="center"/>
      <protection hidden="1"/>
    </xf>
    <xf numFmtId="165" fontId="4" fillId="9" borderId="0" xfId="1" applyNumberFormat="1" applyFont="1" applyFill="1" applyBorder="1" applyAlignment="1" applyProtection="1">
      <alignment vertical="center"/>
      <protection hidden="1"/>
    </xf>
    <xf numFmtId="165" fontId="5" fillId="9" borderId="0" xfId="0" applyNumberFormat="1" applyFont="1" applyFill="1" applyBorder="1" applyAlignment="1" applyProtection="1">
      <alignment vertical="center"/>
      <protection hidden="1"/>
    </xf>
    <xf numFmtId="0" fontId="14" fillId="9" borderId="0" xfId="0" applyFont="1" applyFill="1" applyBorder="1" applyAlignment="1" applyProtection="1">
      <alignment vertical="center"/>
      <protection hidden="1"/>
    </xf>
    <xf numFmtId="168" fontId="14" fillId="9" borderId="0" xfId="0" applyNumberFormat="1" applyFont="1" applyFill="1" applyBorder="1" applyAlignment="1" applyProtection="1">
      <alignment vertical="center"/>
      <protection hidden="1"/>
    </xf>
    <xf numFmtId="172" fontId="4" fillId="9" borderId="0" xfId="0" applyNumberFormat="1" applyFont="1" applyFill="1" applyBorder="1" applyAlignment="1">
      <alignment vertical="center"/>
    </xf>
    <xf numFmtId="168" fontId="4" fillId="9" borderId="0" xfId="0" applyNumberFormat="1" applyFont="1" applyFill="1" applyBorder="1" applyAlignment="1" applyProtection="1">
      <alignment vertical="center"/>
      <protection hidden="1"/>
    </xf>
    <xf numFmtId="174" fontId="8" fillId="9" borderId="0" xfId="0" applyNumberFormat="1" applyFont="1" applyFill="1" applyBorder="1" applyAlignment="1">
      <alignment vertical="center"/>
    </xf>
    <xf numFmtId="0" fontId="8" fillId="9" borderId="0" xfId="0" applyFont="1" applyFill="1" applyBorder="1" applyAlignment="1" applyProtection="1">
      <alignment vertical="center"/>
      <protection hidden="1"/>
    </xf>
    <xf numFmtId="1" fontId="5" fillId="9" borderId="31" xfId="0" applyNumberFormat="1" applyFont="1" applyFill="1" applyBorder="1" applyAlignment="1" applyProtection="1">
      <alignment vertical="center"/>
      <protection hidden="1"/>
    </xf>
    <xf numFmtId="166" fontId="5" fillId="9" borderId="31" xfId="0" applyNumberFormat="1" applyFont="1" applyFill="1" applyBorder="1" applyAlignment="1" applyProtection="1">
      <alignment vertical="center"/>
      <protection hidden="1"/>
    </xf>
    <xf numFmtId="0" fontId="5" fillId="10" borderId="31" xfId="0" applyFont="1" applyFill="1" applyBorder="1" applyAlignment="1" applyProtection="1">
      <alignment vertical="center"/>
      <protection hidden="1"/>
    </xf>
    <xf numFmtId="0" fontId="5" fillId="11" borderId="31" xfId="0" applyFont="1" applyFill="1" applyBorder="1" applyAlignment="1" applyProtection="1">
      <alignment vertical="center"/>
      <protection hidden="1"/>
    </xf>
    <xf numFmtId="0" fontId="5" fillId="9" borderId="31" xfId="0" applyFont="1" applyFill="1" applyBorder="1" applyAlignment="1" applyProtection="1">
      <alignment horizontal="center" vertical="center"/>
      <protection hidden="1"/>
    </xf>
    <xf numFmtId="0" fontId="5" fillId="12" borderId="31" xfId="0" applyFont="1" applyFill="1" applyBorder="1" applyAlignment="1" applyProtection="1">
      <alignment horizontal="center" vertical="center"/>
      <protection hidden="1"/>
    </xf>
    <xf numFmtId="0" fontId="5" fillId="13" borderId="31" xfId="0" applyFont="1" applyFill="1" applyBorder="1" applyAlignment="1" applyProtection="1">
      <alignment horizontal="center" vertical="center"/>
      <protection hidden="1"/>
    </xf>
    <xf numFmtId="0" fontId="5" fillId="14" borderId="31" xfId="0" applyFont="1" applyFill="1" applyBorder="1" applyAlignment="1" applyProtection="1">
      <alignment horizontal="center" vertical="center"/>
      <protection hidden="1"/>
    </xf>
    <xf numFmtId="0" fontId="5" fillId="15" borderId="31" xfId="0" applyFont="1" applyFill="1" applyBorder="1" applyAlignment="1">
      <alignment vertical="center"/>
    </xf>
    <xf numFmtId="179" fontId="5" fillId="9" borderId="31" xfId="2" applyNumberFormat="1" applyFont="1" applyFill="1" applyBorder="1" applyAlignment="1" applyProtection="1">
      <alignment horizontal="center" vertical="center"/>
      <protection hidden="1"/>
    </xf>
    <xf numFmtId="2" fontId="5" fillId="9" borderId="31" xfId="0" applyNumberFormat="1" applyFont="1" applyFill="1" applyBorder="1" applyAlignment="1" applyProtection="1">
      <alignment vertical="center"/>
      <protection hidden="1"/>
    </xf>
    <xf numFmtId="0" fontId="5" fillId="2" borderId="32" xfId="0" applyFont="1" applyFill="1" applyBorder="1" applyAlignment="1" applyProtection="1">
      <alignment vertical="center"/>
      <protection locked="0"/>
    </xf>
    <xf numFmtId="1" fontId="5" fillId="9" borderId="31" xfId="0" applyNumberFormat="1" applyFont="1" applyFill="1" applyBorder="1" applyAlignment="1" applyProtection="1">
      <alignment horizontal="center" vertical="center"/>
      <protection hidden="1"/>
    </xf>
    <xf numFmtId="9" fontId="5" fillId="9" borderId="0" xfId="0" applyNumberFormat="1" applyFont="1" applyFill="1" applyBorder="1" applyAlignment="1" applyProtection="1">
      <alignment horizontal="center" vertical="center"/>
      <protection hidden="1"/>
    </xf>
    <xf numFmtId="9" fontId="5" fillId="9" borderId="0" xfId="1" applyFont="1" applyFill="1" applyBorder="1" applyAlignment="1" applyProtection="1">
      <alignment horizontal="center" vertical="center"/>
      <protection hidden="1"/>
    </xf>
    <xf numFmtId="9" fontId="5" fillId="9" borderId="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right"/>
    </xf>
    <xf numFmtId="0" fontId="5" fillId="16" borderId="0" xfId="0" applyFont="1" applyFill="1" applyBorder="1" applyAlignment="1" applyProtection="1">
      <alignment vertical="center"/>
      <protection hidden="1"/>
    </xf>
    <xf numFmtId="2" fontId="5" fillId="16" borderId="0" xfId="0" applyNumberFormat="1" applyFont="1" applyFill="1" applyBorder="1" applyAlignment="1" applyProtection="1">
      <alignment vertical="center"/>
      <protection hidden="1"/>
    </xf>
    <xf numFmtId="174" fontId="8" fillId="16" borderId="0" xfId="0" applyNumberFormat="1" applyFont="1" applyFill="1" applyBorder="1" applyAlignment="1">
      <alignment vertical="center"/>
    </xf>
    <xf numFmtId="0" fontId="5" fillId="16" borderId="0" xfId="0" applyFont="1" applyFill="1" applyBorder="1" applyAlignment="1">
      <alignment vertical="center"/>
    </xf>
    <xf numFmtId="0" fontId="5" fillId="16" borderId="0" xfId="0" applyFont="1" applyFill="1" applyBorder="1" applyAlignment="1" applyProtection="1">
      <alignment vertical="center" wrapText="1"/>
      <protection hidden="1"/>
    </xf>
    <xf numFmtId="0" fontId="8" fillId="16" borderId="0" xfId="0" applyFont="1" applyFill="1" applyBorder="1" applyAlignment="1" applyProtection="1">
      <alignment vertical="center" wrapText="1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170" fontId="5" fillId="8" borderId="0" xfId="1" applyNumberFormat="1" applyFont="1" applyFill="1" applyBorder="1" applyAlignment="1" applyProtection="1">
      <alignment vertical="center"/>
      <protection hidden="1"/>
    </xf>
    <xf numFmtId="40" fontId="5" fillId="8" borderId="0" xfId="2" applyNumberFormat="1" applyFont="1" applyFill="1" applyBorder="1" applyProtection="1">
      <protection hidden="1"/>
    </xf>
    <xf numFmtId="0" fontId="18" fillId="15" borderId="0" xfId="3" applyFont="1" applyFill="1" applyAlignment="1">
      <alignment vertical="center"/>
    </xf>
    <xf numFmtId="0" fontId="18" fillId="15" borderId="0" xfId="3" quotePrefix="1" applyFont="1" applyFill="1" applyAlignment="1">
      <alignment horizontal="right" vertical="center"/>
    </xf>
    <xf numFmtId="165" fontId="18" fillId="15" borderId="0" xfId="1" applyNumberFormat="1" applyFont="1" applyFill="1" applyAlignment="1">
      <alignment vertical="center"/>
    </xf>
    <xf numFmtId="0" fontId="18" fillId="15" borderId="0" xfId="3" applyFont="1" applyFill="1"/>
    <xf numFmtId="165" fontId="11" fillId="9" borderId="0" xfId="1" applyNumberFormat="1" applyFont="1" applyFill="1" applyBorder="1" applyAlignment="1">
      <alignment vertical="center"/>
    </xf>
    <xf numFmtId="2" fontId="5" fillId="0" borderId="31" xfId="0" applyNumberFormat="1" applyFont="1" applyFill="1" applyBorder="1" applyAlignment="1" applyProtection="1">
      <alignment vertical="center"/>
      <protection hidden="1"/>
    </xf>
    <xf numFmtId="0" fontId="5" fillId="13" borderId="31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Fill="1" applyBorder="1" applyAlignment="1" applyProtection="1">
      <alignment vertical="center"/>
      <protection hidden="1"/>
    </xf>
    <xf numFmtId="0" fontId="5" fillId="18" borderId="31" xfId="0" applyFont="1" applyFill="1" applyBorder="1" applyAlignment="1" applyProtection="1">
      <alignment horizontal="center" vertical="center"/>
      <protection hidden="1"/>
    </xf>
    <xf numFmtId="173" fontId="7" fillId="8" borderId="13" xfId="0" applyNumberFormat="1" applyFont="1" applyFill="1" applyBorder="1" applyAlignment="1" applyProtection="1">
      <alignment horizontal="right" vertical="center"/>
      <protection hidden="1"/>
    </xf>
    <xf numFmtId="173" fontId="8" fillId="8" borderId="10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 applyProtection="1">
      <alignment horizontal="right" vertical="center"/>
      <protection hidden="1"/>
    </xf>
    <xf numFmtId="173" fontId="8" fillId="0" borderId="10" xfId="0" applyNumberFormat="1" applyFont="1" applyBorder="1" applyAlignment="1">
      <alignment vertical="center"/>
    </xf>
    <xf numFmtId="0" fontId="4" fillId="7" borderId="20" xfId="0" applyFont="1" applyFill="1" applyBorder="1" applyAlignment="1" applyProtection="1">
      <alignment horizontal="center" vertical="center"/>
      <protection hidden="1"/>
    </xf>
    <xf numFmtId="0" fontId="4" fillId="7" borderId="23" xfId="0" applyFont="1" applyFill="1" applyBorder="1" applyAlignment="1" applyProtection="1">
      <alignment horizontal="center" vertical="center"/>
      <protection hidden="1"/>
    </xf>
    <xf numFmtId="0" fontId="4" fillId="7" borderId="14" xfId="0" applyFont="1" applyFill="1" applyBorder="1" applyAlignment="1" applyProtection="1">
      <alignment horizontal="center" vertical="center"/>
      <protection hidden="1"/>
    </xf>
    <xf numFmtId="173" fontId="7" fillId="7" borderId="20" xfId="2" applyNumberFormat="1" applyFont="1" applyFill="1" applyBorder="1" applyAlignment="1" applyProtection="1">
      <alignment horizontal="right" vertical="center"/>
      <protection hidden="1"/>
    </xf>
    <xf numFmtId="173" fontId="7" fillId="7" borderId="10" xfId="2" applyNumberFormat="1" applyFont="1" applyFill="1" applyBorder="1" applyAlignment="1" applyProtection="1">
      <alignment horizontal="right" vertical="center"/>
      <protection hidden="1"/>
    </xf>
    <xf numFmtId="171" fontId="7" fillId="7" borderId="13" xfId="0" applyNumberFormat="1" applyFont="1" applyFill="1" applyBorder="1" applyAlignment="1" applyProtection="1">
      <alignment horizontal="right" vertical="center"/>
      <protection hidden="1"/>
    </xf>
    <xf numFmtId="171" fontId="7" fillId="7" borderId="10" xfId="0" applyNumberFormat="1" applyFont="1" applyFill="1" applyBorder="1" applyAlignment="1" applyProtection="1">
      <alignment horizontal="right" vertical="center"/>
      <protection hidden="1"/>
    </xf>
    <xf numFmtId="173" fontId="7" fillId="7" borderId="13" xfId="0" applyNumberFormat="1" applyFont="1" applyFill="1" applyBorder="1" applyAlignment="1" applyProtection="1">
      <alignment horizontal="right" vertical="center"/>
      <protection hidden="1"/>
    </xf>
    <xf numFmtId="173" fontId="7" fillId="7" borderId="10" xfId="0" applyNumberFormat="1" applyFont="1" applyFill="1" applyBorder="1" applyAlignment="1" applyProtection="1">
      <alignment horizontal="right" vertical="center"/>
      <protection hidden="1"/>
    </xf>
    <xf numFmtId="171" fontId="7" fillId="8" borderId="13" xfId="0" applyNumberFormat="1" applyFont="1" applyFill="1" applyBorder="1" applyAlignment="1" applyProtection="1">
      <alignment horizontal="right" vertical="center"/>
      <protection hidden="1"/>
    </xf>
    <xf numFmtId="171" fontId="7" fillId="8" borderId="10" xfId="0" applyNumberFormat="1" applyFont="1" applyFill="1" applyBorder="1" applyAlignment="1" applyProtection="1">
      <alignment horizontal="right" vertical="center"/>
      <protection hidden="1"/>
    </xf>
    <xf numFmtId="171" fontId="7" fillId="17" borderId="13" xfId="0" applyNumberFormat="1" applyFont="1" applyFill="1" applyBorder="1" applyAlignment="1" applyProtection="1">
      <alignment horizontal="right" vertical="center"/>
      <protection hidden="1"/>
    </xf>
    <xf numFmtId="171" fontId="7" fillId="17" borderId="10" xfId="0" applyNumberFormat="1" applyFont="1" applyFill="1" applyBorder="1" applyAlignment="1" applyProtection="1">
      <alignment horizontal="right" vertical="center"/>
      <protection hidden="1"/>
    </xf>
    <xf numFmtId="171" fontId="7" fillId="3" borderId="13" xfId="0" applyNumberFormat="1" applyFont="1" applyFill="1" applyBorder="1" applyAlignment="1" applyProtection="1">
      <alignment horizontal="right" vertical="center"/>
      <protection hidden="1"/>
    </xf>
    <xf numFmtId="171" fontId="7" fillId="3" borderId="10" xfId="0" applyNumberFormat="1" applyFont="1" applyFill="1" applyBorder="1" applyAlignment="1" applyProtection="1">
      <alignment horizontal="right" vertical="center"/>
      <protection hidden="1"/>
    </xf>
    <xf numFmtId="171" fontId="7" fillId="8" borderId="28" xfId="0" applyNumberFormat="1" applyFont="1" applyFill="1" applyBorder="1" applyAlignment="1" applyProtection="1">
      <alignment horizontal="right" vertical="center"/>
      <protection hidden="1"/>
    </xf>
    <xf numFmtId="171" fontId="7" fillId="8" borderId="27" xfId="0" applyNumberFormat="1" applyFont="1" applyFill="1" applyBorder="1" applyAlignment="1" applyProtection="1">
      <alignment horizontal="right" vertical="center"/>
      <protection hidden="1"/>
    </xf>
    <xf numFmtId="0" fontId="9" fillId="6" borderId="15" xfId="0" applyFont="1" applyFill="1" applyBorder="1" applyAlignment="1" applyProtection="1">
      <alignment horizontal="center" vertical="center"/>
      <protection hidden="1"/>
    </xf>
    <xf numFmtId="0" fontId="4" fillId="5" borderId="20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9" fillId="6" borderId="25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8" borderId="20" xfId="0" applyFont="1" applyFill="1" applyBorder="1" applyAlignment="1" applyProtection="1">
      <alignment horizontal="center" vertical="center"/>
      <protection hidden="1"/>
    </xf>
    <xf numFmtId="0" fontId="5" fillId="8" borderId="2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4" fillId="17" borderId="20" xfId="0" applyFont="1" applyFill="1" applyBorder="1" applyAlignment="1" applyProtection="1">
      <alignment horizontal="center" vertical="center"/>
      <protection hidden="1"/>
    </xf>
    <xf numFmtId="0" fontId="5" fillId="17" borderId="2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3" xfId="0" applyBorder="1"/>
    <xf numFmtId="0" fontId="0" fillId="0" borderId="14" xfId="0" applyBorder="1"/>
    <xf numFmtId="0" fontId="4" fillId="7" borderId="21" xfId="0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4" fillId="7" borderId="33" xfId="0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173" fontId="7" fillId="5" borderId="20" xfId="2" applyNumberFormat="1" applyFont="1" applyFill="1" applyBorder="1" applyAlignment="1" applyProtection="1">
      <alignment horizontal="right" vertical="center"/>
      <protection hidden="1"/>
    </xf>
    <xf numFmtId="173" fontId="7" fillId="5" borderId="10" xfId="2" applyNumberFormat="1" applyFont="1" applyFill="1" applyBorder="1" applyAlignment="1" applyProtection="1">
      <alignment horizontal="right" vertical="center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173" fontId="7" fillId="8" borderId="20" xfId="2" applyNumberFormat="1" applyFont="1" applyFill="1" applyBorder="1" applyAlignment="1" applyProtection="1">
      <alignment horizontal="right" vertical="center"/>
      <protection hidden="1"/>
    </xf>
    <xf numFmtId="173" fontId="7" fillId="8" borderId="10" xfId="2" applyNumberFormat="1" applyFont="1" applyFill="1" applyBorder="1" applyAlignment="1" applyProtection="1">
      <alignment horizontal="right" vertical="center"/>
      <protection hidden="1"/>
    </xf>
    <xf numFmtId="173" fontId="7" fillId="17" borderId="20" xfId="2" applyNumberFormat="1" applyFont="1" applyFill="1" applyBorder="1" applyAlignment="1" applyProtection="1">
      <alignment horizontal="right" vertical="center"/>
      <protection hidden="1"/>
    </xf>
    <xf numFmtId="173" fontId="7" fillId="17" borderId="10" xfId="2" applyNumberFormat="1" applyFont="1" applyFill="1" applyBorder="1" applyAlignment="1" applyProtection="1">
      <alignment horizontal="right" vertical="center"/>
      <protection hidden="1"/>
    </xf>
    <xf numFmtId="173" fontId="7" fillId="3" borderId="20" xfId="2" applyNumberFormat="1" applyFont="1" applyFill="1" applyBorder="1" applyAlignment="1" applyProtection="1">
      <alignment horizontal="right" vertical="center"/>
      <protection hidden="1"/>
    </xf>
    <xf numFmtId="173" fontId="7" fillId="3" borderId="10" xfId="2" applyNumberFormat="1" applyFont="1" applyFill="1" applyBorder="1" applyAlignment="1" applyProtection="1">
      <alignment horizontal="right" vertical="center"/>
      <protection hidden="1"/>
    </xf>
    <xf numFmtId="173" fontId="7" fillId="7" borderId="21" xfId="2" applyNumberFormat="1" applyFont="1" applyFill="1" applyBorder="1" applyAlignment="1" applyProtection="1">
      <alignment horizontal="right" vertical="center"/>
      <protection hidden="1"/>
    </xf>
    <xf numFmtId="173" fontId="7" fillId="7" borderId="19" xfId="2" applyNumberFormat="1" applyFont="1" applyFill="1" applyBorder="1" applyAlignment="1" applyProtection="1">
      <alignment horizontal="right" vertical="center"/>
      <protection hidden="1"/>
    </xf>
    <xf numFmtId="173" fontId="7" fillId="7" borderId="33" xfId="2" applyNumberFormat="1" applyFont="1" applyFill="1" applyBorder="1" applyAlignment="1" applyProtection="1">
      <alignment horizontal="right" vertical="center"/>
      <protection hidden="1"/>
    </xf>
    <xf numFmtId="173" fontId="7" fillId="7" borderId="36" xfId="2" applyNumberFormat="1" applyFont="1" applyFill="1" applyBorder="1" applyAlignment="1" applyProtection="1">
      <alignment horizontal="right" vertical="center"/>
      <protection hidden="1"/>
    </xf>
    <xf numFmtId="173" fontId="7" fillId="8" borderId="30" xfId="2" applyNumberFormat="1" applyFont="1" applyFill="1" applyBorder="1" applyAlignment="1" applyProtection="1">
      <alignment horizontal="right" vertical="center"/>
      <protection hidden="1"/>
    </xf>
    <xf numFmtId="173" fontId="7" fillId="8" borderId="27" xfId="2" applyNumberFormat="1" applyFont="1" applyFill="1" applyBorder="1" applyAlignment="1" applyProtection="1">
      <alignment horizontal="right" vertical="center"/>
      <protection hidden="1"/>
    </xf>
    <xf numFmtId="171" fontId="7" fillId="5" borderId="13" xfId="0" applyNumberFormat="1" applyFont="1" applyFill="1" applyBorder="1" applyAlignment="1" applyProtection="1">
      <alignment horizontal="right" vertical="center"/>
      <protection hidden="1"/>
    </xf>
    <xf numFmtId="171" fontId="7" fillId="5" borderId="10" xfId="0" applyNumberFormat="1" applyFont="1" applyFill="1" applyBorder="1" applyAlignment="1" applyProtection="1">
      <alignment horizontal="right" vertical="center"/>
      <protection hidden="1"/>
    </xf>
    <xf numFmtId="171" fontId="7" fillId="7" borderId="17" xfId="0" applyNumberFormat="1" applyFont="1" applyFill="1" applyBorder="1" applyAlignment="1" applyProtection="1">
      <alignment horizontal="right" vertical="center"/>
      <protection hidden="1"/>
    </xf>
    <xf numFmtId="171" fontId="7" fillId="7" borderId="19" xfId="0" applyNumberFormat="1" applyFont="1" applyFill="1" applyBorder="1" applyAlignment="1" applyProtection="1">
      <alignment horizontal="right" vertical="center"/>
      <protection hidden="1"/>
    </xf>
    <xf numFmtId="171" fontId="7" fillId="7" borderId="37" xfId="0" applyNumberFormat="1" applyFont="1" applyFill="1" applyBorder="1" applyAlignment="1" applyProtection="1">
      <alignment horizontal="right" vertical="center"/>
      <protection hidden="1"/>
    </xf>
    <xf numFmtId="171" fontId="7" fillId="7" borderId="36" xfId="0" applyNumberFormat="1" applyFont="1" applyFill="1" applyBorder="1" applyAlignment="1" applyProtection="1">
      <alignment horizontal="right" vertical="center"/>
      <protection hidden="1"/>
    </xf>
    <xf numFmtId="172" fontId="4" fillId="3" borderId="3" xfId="0" applyNumberFormat="1" applyFont="1" applyFill="1" applyBorder="1" applyAlignment="1" applyProtection="1">
      <alignment vertical="center"/>
      <protection locked="0"/>
    </xf>
    <xf numFmtId="172" fontId="5" fillId="0" borderId="9" xfId="0" applyNumberFormat="1" applyFont="1" applyBorder="1" applyAlignme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/>
    <xf numFmtId="173" fontId="7" fillId="7" borderId="14" xfId="0" applyNumberFormat="1" applyFont="1" applyFill="1" applyBorder="1" applyAlignment="1" applyProtection="1">
      <alignment horizontal="right" vertical="center"/>
      <protection hidden="1"/>
    </xf>
    <xf numFmtId="173" fontId="7" fillId="7" borderId="17" xfId="0" applyNumberFormat="1" applyFont="1" applyFill="1" applyBorder="1" applyAlignment="1" applyProtection="1">
      <alignment horizontal="right" vertical="center"/>
      <protection hidden="1"/>
    </xf>
    <xf numFmtId="173" fontId="7" fillId="7" borderId="18" xfId="0" applyNumberFormat="1" applyFont="1" applyFill="1" applyBorder="1" applyAlignment="1" applyProtection="1">
      <alignment horizontal="right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173" fontId="7" fillId="8" borderId="14" xfId="0" applyNumberFormat="1" applyFont="1" applyFill="1" applyBorder="1" applyAlignment="1" applyProtection="1">
      <alignment horizontal="right" vertical="center"/>
      <protection hidden="1"/>
    </xf>
    <xf numFmtId="173" fontId="8" fillId="7" borderId="19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173" fontId="7" fillId="8" borderId="28" xfId="0" applyNumberFormat="1" applyFont="1" applyFill="1" applyBorder="1" applyAlignment="1" applyProtection="1">
      <alignment horizontal="right" vertical="center"/>
      <protection hidden="1"/>
    </xf>
    <xf numFmtId="173" fontId="7" fillId="8" borderId="29" xfId="0" applyNumberFormat="1" applyFont="1" applyFill="1" applyBorder="1" applyAlignment="1" applyProtection="1">
      <alignment horizontal="right" vertical="center"/>
      <protection hidden="1"/>
    </xf>
    <xf numFmtId="173" fontId="8" fillId="8" borderId="27" xfId="0" applyNumberFormat="1" applyFont="1" applyFill="1" applyBorder="1" applyAlignment="1">
      <alignment vertical="center"/>
    </xf>
    <xf numFmtId="0" fontId="4" fillId="5" borderId="21" xfId="0" applyFont="1" applyFill="1" applyBorder="1" applyAlignment="1" applyProtection="1">
      <alignment horizontal="center" vertical="center"/>
      <protection hidden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vertical="center"/>
      <protection hidden="1"/>
    </xf>
    <xf numFmtId="173" fontId="7" fillId="5" borderId="21" xfId="2" applyNumberFormat="1" applyFont="1" applyFill="1" applyBorder="1" applyAlignment="1" applyProtection="1">
      <alignment horizontal="right" vertical="center"/>
      <protection hidden="1"/>
    </xf>
    <xf numFmtId="173" fontId="7" fillId="5" borderId="19" xfId="2" applyNumberFormat="1" applyFont="1" applyFill="1" applyBorder="1" applyAlignment="1" applyProtection="1">
      <alignment horizontal="right" vertical="center"/>
      <protection hidden="1"/>
    </xf>
    <xf numFmtId="171" fontId="7" fillId="5" borderId="17" xfId="0" applyNumberFormat="1" applyFont="1" applyFill="1" applyBorder="1" applyAlignment="1" applyProtection="1">
      <alignment horizontal="right" vertical="center"/>
      <protection hidden="1"/>
    </xf>
    <xf numFmtId="171" fontId="7" fillId="5" borderId="19" xfId="0" applyNumberFormat="1" applyFont="1" applyFill="1" applyBorder="1" applyAlignment="1" applyProtection="1">
      <alignment horizontal="right" vertical="center"/>
      <protection hidden="1"/>
    </xf>
    <xf numFmtId="173" fontId="7" fillId="5" borderId="17" xfId="0" applyNumberFormat="1" applyFont="1" applyFill="1" applyBorder="1" applyAlignment="1" applyProtection="1">
      <alignment horizontal="right" vertical="center"/>
      <protection hidden="1"/>
    </xf>
    <xf numFmtId="173" fontId="8" fillId="0" borderId="19" xfId="0" applyNumberFormat="1" applyFont="1" applyBorder="1" applyAlignment="1">
      <alignment vertical="center"/>
    </xf>
    <xf numFmtId="173" fontId="7" fillId="7" borderId="37" xfId="0" applyNumberFormat="1" applyFont="1" applyFill="1" applyBorder="1" applyAlignment="1" applyProtection="1">
      <alignment horizontal="right" vertical="center"/>
      <protection hidden="1"/>
    </xf>
    <xf numFmtId="173" fontId="8" fillId="7" borderId="36" xfId="0" applyNumberFormat="1" applyFont="1" applyFill="1" applyBorder="1" applyAlignment="1">
      <alignment vertical="center"/>
    </xf>
    <xf numFmtId="173" fontId="7" fillId="5" borderId="13" xfId="0" applyNumberFormat="1" applyFont="1" applyFill="1" applyBorder="1" applyAlignment="1" applyProtection="1">
      <alignment horizontal="right" vertical="center"/>
      <protection hidden="1"/>
    </xf>
    <xf numFmtId="173" fontId="7" fillId="17" borderId="13" xfId="0" applyNumberFormat="1" applyFont="1" applyFill="1" applyBorder="1" applyAlignment="1" applyProtection="1">
      <alignment horizontal="right" vertical="center"/>
      <protection hidden="1"/>
    </xf>
    <xf numFmtId="173" fontId="8" fillId="17" borderId="10" xfId="0" applyNumberFormat="1" applyFont="1" applyFill="1" applyBorder="1" applyAlignment="1">
      <alignment vertical="center"/>
    </xf>
    <xf numFmtId="173" fontId="7" fillId="5" borderId="18" xfId="0" applyNumberFormat="1" applyFont="1" applyFill="1" applyBorder="1" applyAlignment="1" applyProtection="1">
      <alignment horizontal="right" vertical="center"/>
      <protection hidden="1"/>
    </xf>
    <xf numFmtId="173" fontId="7" fillId="7" borderId="35" xfId="0" applyNumberFormat="1" applyFont="1" applyFill="1" applyBorder="1" applyAlignment="1" applyProtection="1">
      <alignment horizontal="right" vertical="center"/>
      <protection hidden="1"/>
    </xf>
    <xf numFmtId="173" fontId="7" fillId="5" borderId="14" xfId="0" applyNumberFormat="1" applyFont="1" applyFill="1" applyBorder="1" applyAlignment="1" applyProtection="1">
      <alignment horizontal="right" vertical="center"/>
      <protection hidden="1"/>
    </xf>
    <xf numFmtId="173" fontId="7" fillId="17" borderId="14" xfId="0" applyNumberFormat="1" applyFont="1" applyFill="1" applyBorder="1" applyAlignment="1" applyProtection="1">
      <alignment horizontal="right" vertical="center"/>
      <protection hidden="1"/>
    </xf>
    <xf numFmtId="173" fontId="7" fillId="3" borderId="14" xfId="0" applyNumberFormat="1" applyFont="1" applyFill="1" applyBorder="1" applyAlignment="1" applyProtection="1">
      <alignment horizontal="right" vertical="center"/>
      <protection hidden="1"/>
    </xf>
    <xf numFmtId="0" fontId="11" fillId="9" borderId="0" xfId="0" applyFont="1" applyFill="1" applyBorder="1" applyAlignment="1">
      <alignment horizontal="center" vertical="center"/>
    </xf>
  </cellXfs>
  <cellStyles count="8">
    <cellStyle name="Normaali" xfId="0" builtinId="0"/>
    <cellStyle name="Pilkku [0]" xfId="2" builtinId="6"/>
    <cellStyle name="Prosenttia" xfId="1" builtinId="5"/>
    <cellStyle name="パーセント 2" xfId="6"/>
    <cellStyle name="桁区切り 2" xfId="7"/>
    <cellStyle name="標準 2" xfId="5"/>
    <cellStyle name="標準 3" xfId="3"/>
    <cellStyle name="標準 4" xfId="4"/>
  </cellStyles>
  <dxfs count="10">
    <dxf>
      <font>
        <condense val="0"/>
        <extend val="0"/>
        <color indexed="14"/>
      </font>
      <fill>
        <patternFill>
          <bgColor indexed="22"/>
        </patternFill>
      </fill>
    </dxf>
    <dxf>
      <font>
        <condense val="0"/>
        <extend val="0"/>
        <color indexed="14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bgColor indexed="23"/>
        </patternFill>
      </fill>
    </dxf>
    <dxf>
      <font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strike/>
        <condense val="0"/>
        <extend val="0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</dxfs>
  <tableStyles count="0" defaultTableStyle="TableStyleMedium2" defaultPivotStyle="PivotStyleLight16"/>
  <colors>
    <mruColors>
      <color rgb="FFCCCCFF"/>
      <color rgb="FFFFFF99"/>
      <color rgb="FFCCFFFF"/>
      <color rgb="FF99FF99"/>
      <color rgb="FF99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Link="$C$6" fmlaRange="Calculation!$I$2:$I$11" sel="6" val="0"/>
</file>

<file path=xl/ctrlProps/ctrlProp2.xml><?xml version="1.0" encoding="utf-8"?>
<formControlPr xmlns="http://schemas.microsoft.com/office/spreadsheetml/2009/9/main" objectType="Drop" dropLines="2" dropStyle="combo" dx="16" fmlaLink="$E$6" fmlaRange="Calculation!$B$27:$B$28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200025</xdr:rowOff>
        </xdr:from>
        <xdr:to>
          <xdr:col>3</xdr:col>
          <xdr:colOff>333375</xdr:colOff>
          <xdr:row>6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4</xdr:row>
          <xdr:rowOff>200025</xdr:rowOff>
        </xdr:from>
        <xdr:to>
          <xdr:col>5</xdr:col>
          <xdr:colOff>495300</xdr:colOff>
          <xdr:row>6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47625</xdr:colOff>
      <xdr:row>0</xdr:row>
      <xdr:rowOff>66675</xdr:rowOff>
    </xdr:from>
    <xdr:to>
      <xdr:col>3</xdr:col>
      <xdr:colOff>247650</xdr:colOff>
      <xdr:row>2</xdr:row>
      <xdr:rowOff>142875</xdr:rowOff>
    </xdr:to>
    <xdr:pic>
      <xdr:nvPicPr>
        <xdr:cNvPr id="1060" name="Picture 36" descr="D:\Documents and Settings\ko-fksw\デスクトップ\新HWシミュレーター\Logo\CITILED_T.L.E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85975" cy="495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969696" mc:Ignorable="a14" a14:legacySpreadsheetColorIndex="55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390525</xdr:colOff>
      <xdr:row>0</xdr:row>
      <xdr:rowOff>126999</xdr:rowOff>
    </xdr:from>
    <xdr:to>
      <xdr:col>12</xdr:col>
      <xdr:colOff>466725</xdr:colOff>
      <xdr:row>2</xdr:row>
      <xdr:rowOff>109007</xdr:rowOff>
    </xdr:to>
    <xdr:sp macro="" textlink="">
      <xdr:nvSpPr>
        <xdr:cNvPr id="1062" name="WordArt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6475" y="126999"/>
          <a:ext cx="4772025" cy="40110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400" b="1" i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>
                <a:outerShdw dist="17961" dir="2700000" algn="ctr" rotWithShape="0">
                  <a:srgbClr xmlns:mc="http://schemas.openxmlformats.org/markup-compatibility/2006" xmlns:a14="http://schemas.microsoft.com/office/drawing/2010/main" val="969696" mc:Ignorable="a14" a14:legacySpreadsheetColorIndex="55"/>
                </a:outerShdw>
              </a:effectLst>
              <a:latin typeface="Arial"/>
              <a:cs typeface="Arial"/>
            </a:rPr>
            <a:t>Lighting LED Selection Tool</a:t>
          </a:r>
          <a:endParaRPr lang="ja-JP" altLang="en-US" sz="2400" b="1" i="1" kern="10" spc="0">
            <a:ln>
              <a:noFill/>
            </a:ln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effectLst>
              <a:outerShdw dist="17961" dir="2700000" algn="ctr" rotWithShape="0">
                <a:srgbClr xmlns:mc="http://schemas.openxmlformats.org/markup-compatibility/2006" xmlns:a14="http://schemas.microsoft.com/office/drawing/2010/main" val="969696" mc:Ignorable="a14" a14:legacySpreadsheetColorIndex="55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4</xdr:row>
      <xdr:rowOff>104775</xdr:rowOff>
    </xdr:from>
    <xdr:to>
      <xdr:col>13</xdr:col>
      <xdr:colOff>314325</xdr:colOff>
      <xdr:row>6</xdr:row>
      <xdr:rowOff>76200</xdr:rowOff>
    </xdr:to>
    <xdr:sp macro="" textlink="">
      <xdr:nvSpPr>
        <xdr:cNvPr id="1063" name="Rectangl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247650" y="847725"/>
          <a:ext cx="6953250" cy="3905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</xdr:col>
      <xdr:colOff>28575</xdr:colOff>
      <xdr:row>4</xdr:row>
      <xdr:rowOff>0</xdr:rowOff>
    </xdr:from>
    <xdr:ext cx="1114720" cy="162224"/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84727" y="737152"/>
          <a:ext cx="1114720" cy="1622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000" tIns="0" rIns="3600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Arial"/>
              <a:cs typeface="Arial"/>
            </a:rPr>
            <a:t>Condition input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2"/>
  <sheetViews>
    <sheetView showGridLines="0" tabSelected="1" zoomScaleNormal="100" workbookViewId="0">
      <selection activeCell="C32" sqref="B32:C32"/>
    </sheetView>
  </sheetViews>
  <sheetFormatPr defaultRowHeight="14.25"/>
  <cols>
    <col min="1" max="1" width="4.625" style="34" customWidth="1"/>
    <col min="2" max="2" width="9.5" style="34" customWidth="1"/>
    <col min="3" max="3" width="10.625" style="34" customWidth="1"/>
    <col min="4" max="4" width="8.625" style="34" customWidth="1"/>
    <col min="5" max="6" width="6.625" style="34" customWidth="1"/>
    <col min="7" max="7" width="8.125" style="34" customWidth="1"/>
    <col min="8" max="8" width="5.125" style="34" customWidth="1"/>
    <col min="9" max="18" width="6.625" style="34" customWidth="1"/>
    <col min="19" max="16384" width="9" style="34"/>
  </cols>
  <sheetData>
    <row r="1" spans="1:20" ht="17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7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7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7.100000000000001" customHeight="1" thickBo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1"/>
    </row>
    <row r="6" spans="1:20" ht="17.100000000000001" customHeight="1" thickBot="1">
      <c r="A6" s="3"/>
      <c r="B6" s="6" t="s">
        <v>9</v>
      </c>
      <c r="C6" s="104">
        <v>6</v>
      </c>
      <c r="D6" s="7">
        <v>1</v>
      </c>
      <c r="E6" s="8">
        <v>2</v>
      </c>
      <c r="F6" s="2"/>
      <c r="G6" s="9">
        <v>90</v>
      </c>
      <c r="H6" s="26" t="str">
        <f>VLOOKUP(E6,Calculation!A27:I28,9,FALSE)</f>
        <v>mA</v>
      </c>
      <c r="I6" s="3"/>
      <c r="J6" s="200" t="s">
        <v>10</v>
      </c>
      <c r="K6" s="201"/>
      <c r="L6" s="198">
        <v>25</v>
      </c>
      <c r="M6" s="199"/>
      <c r="N6" s="10"/>
      <c r="O6" s="5"/>
      <c r="P6" s="1"/>
    </row>
    <row r="7" spans="1:20" ht="9.9499999999999993" customHeight="1">
      <c r="A7" s="3"/>
      <c r="B7" s="11"/>
      <c r="C7" s="7"/>
      <c r="D7" s="7"/>
      <c r="E7" s="1"/>
      <c r="F7" s="12"/>
      <c r="G7" s="13"/>
      <c r="H7" s="14"/>
      <c r="I7" s="3"/>
      <c r="J7" s="15"/>
      <c r="K7" s="16"/>
      <c r="L7" s="10"/>
      <c r="M7" s="16"/>
      <c r="N7" s="10"/>
      <c r="O7" s="3"/>
      <c r="P7" s="1"/>
    </row>
    <row r="8" spans="1:20" ht="9.9499999999999993" customHeight="1" thickBot="1">
      <c r="A8" s="3"/>
      <c r="B8" s="3"/>
      <c r="C8" s="3"/>
      <c r="D8" s="3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17"/>
    </row>
    <row r="9" spans="1:20" s="36" customFormat="1" ht="17.100000000000001" customHeight="1" thickBot="1">
      <c r="A9" s="3"/>
      <c r="B9" s="157" t="s">
        <v>11</v>
      </c>
      <c r="C9" s="158"/>
      <c r="D9" s="159"/>
      <c r="E9" s="179" t="str">
        <f>VLOOKUP($E6,Calculation!A27:I28,3,FALSE)</f>
        <v>φv (lm)</v>
      </c>
      <c r="F9" s="153"/>
      <c r="G9" s="153" t="str">
        <f>VLOOKUP($E6,Calculation!A27:I28,4,FALSE)</f>
        <v>Vf (V)</v>
      </c>
      <c r="H9" s="153"/>
      <c r="I9" s="153" t="str">
        <f>VLOOKUP($E6,Calculation!A27:I28,7,FALSE)</f>
        <v>Pd (W)</v>
      </c>
      <c r="J9" s="153"/>
      <c r="K9" s="153" t="str">
        <f>VLOOKUP($E6,Calculation!A27:I28,8,FALSE)</f>
        <v>lm/W</v>
      </c>
      <c r="L9" s="208"/>
      <c r="M9" s="153" t="s">
        <v>12</v>
      </c>
      <c r="N9" s="205"/>
      <c r="O9" s="35"/>
      <c r="P9" s="42"/>
      <c r="R9" s="27"/>
    </row>
    <row r="10" spans="1:20" s="36" customFormat="1" ht="18.75" hidden="1" customHeight="1" thickBot="1">
      <c r="A10" s="3"/>
      <c r="B10" s="18" t="s">
        <v>13</v>
      </c>
      <c r="C10" s="19"/>
      <c r="D10" s="19"/>
      <c r="E10" s="20" t="str">
        <f>CONCATENATE($E6,E9)</f>
        <v>2φv (lm)</v>
      </c>
      <c r="F10" s="20"/>
      <c r="G10" s="21" t="str">
        <f>CONCATENATE($E6,G9)</f>
        <v>2Vf (V)</v>
      </c>
      <c r="H10" s="21"/>
      <c r="I10" s="21" t="str">
        <f>CONCATENATE($E6,I9)</f>
        <v>2Pd (W)</v>
      </c>
      <c r="J10" s="21"/>
      <c r="K10" s="21" t="str">
        <f>CONCATENATE($E6,K9)</f>
        <v>2lm/W</v>
      </c>
      <c r="L10" s="22"/>
      <c r="M10" s="23" t="str">
        <f>CONCATENATE($E6,M9)</f>
        <v>2Tj (C)</v>
      </c>
      <c r="N10" s="23"/>
      <c r="R10" s="27"/>
    </row>
    <row r="11" spans="1:20" s="36" customFormat="1" ht="17.100000000000001" hidden="1" customHeight="1">
      <c r="A11" s="3"/>
      <c r="B11" s="160" t="str">
        <f>CONCATENATE(Calculation!B2,"-",Calculation!F2,Calculation!D2)</f>
        <v>CLU028-1201C4-50BV1N3</v>
      </c>
      <c r="C11" s="161"/>
      <c r="D11" s="162"/>
      <c r="E11" s="190" t="e">
        <f>HLOOKUP(E$10,Calculation!$C$34:$P$48,2,FALSE)</f>
        <v>#N/A</v>
      </c>
      <c r="F11" s="191"/>
      <c r="G11" s="151" t="e">
        <f>HLOOKUP(G$10,Calculation!$C$34:$P$48,2,FALSE)</f>
        <v>#N/A</v>
      </c>
      <c r="H11" s="152"/>
      <c r="I11" s="151" t="e">
        <f>HLOOKUP(I$10,Calculation!$C$34:$P$48,2,FALSE)</f>
        <v>#N/A</v>
      </c>
      <c r="J11" s="152"/>
      <c r="K11" s="209" t="e">
        <f>HLOOKUP(K$10,Calculation!$C$34:$P$48,2,FALSE)</f>
        <v>#N/A</v>
      </c>
      <c r="L11" s="211"/>
      <c r="M11" s="209" t="e">
        <f>HLOOKUP(M$10,Calculation!$C$34:$P$48,2,FALSE)</f>
        <v>#N/A</v>
      </c>
      <c r="N11" s="210"/>
      <c r="O11" s="37"/>
      <c r="P11" s="43"/>
      <c r="Q11" s="44"/>
      <c r="R11" s="27"/>
      <c r="S11" s="45"/>
    </row>
    <row r="12" spans="1:20" s="36" customFormat="1" ht="17.100000000000001" hidden="1" customHeight="1">
      <c r="A12" s="3"/>
      <c r="B12" s="160" t="str">
        <f>CONCATENATE(Calculation!B3,"-",Calculation!F3,Calculation!D3)</f>
        <v>CLU028-1202C4-50BV1N3</v>
      </c>
      <c r="C12" s="161"/>
      <c r="D12" s="162"/>
      <c r="E12" s="180" t="e">
        <f>HLOOKUP(E$10,Calculation!$C$34:$P$48,3,FALSE)</f>
        <v>#N/A</v>
      </c>
      <c r="F12" s="181"/>
      <c r="G12" s="145" t="e">
        <f>HLOOKUP(G$10,Calculation!$C$34:$P$48,3,FALSE)</f>
        <v>#N/A</v>
      </c>
      <c r="H12" s="146"/>
      <c r="I12" s="145" t="e">
        <f>HLOOKUP(I$10,Calculation!$C$34:$P$48,3,FALSE)</f>
        <v>#N/A</v>
      </c>
      <c r="J12" s="146"/>
      <c r="K12" s="132" t="e">
        <f>HLOOKUP(K$10,Calculation!$C$34:$P$48,3,FALSE)</f>
        <v>#N/A</v>
      </c>
      <c r="L12" s="133"/>
      <c r="M12" s="132" t="e">
        <f>HLOOKUP(M$10,Calculation!$C$34:$P$48,3,FALSE)</f>
        <v>#N/A</v>
      </c>
      <c r="N12" s="206"/>
      <c r="O12" s="37"/>
      <c r="P12" s="43"/>
      <c r="Q12" s="44"/>
      <c r="R12" s="27"/>
      <c r="S12" s="45"/>
    </row>
    <row r="13" spans="1:20" s="36" customFormat="1" ht="17.100000000000001" hidden="1" customHeight="1">
      <c r="A13" s="3"/>
      <c r="B13" s="160" t="str">
        <f>CONCATENATE(Calculation!B4,"-",Calculation!F4,Calculation!D4)</f>
        <v>CLU028-1203C4-50BV1N3</v>
      </c>
      <c r="C13" s="161"/>
      <c r="D13" s="162"/>
      <c r="E13" s="180" t="e">
        <f>HLOOKUP(E$10,Calculation!$C$34:$P$48,4,FALSE)</f>
        <v>#N/A</v>
      </c>
      <c r="F13" s="181"/>
      <c r="G13" s="145" t="e">
        <f>HLOOKUP(G$10,Calculation!$C$34:$P$48,4,FALSE)</f>
        <v>#N/A</v>
      </c>
      <c r="H13" s="146"/>
      <c r="I13" s="145" t="e">
        <f>HLOOKUP(I$10,Calculation!$C$34:$P$48,4,FALSE)</f>
        <v>#N/A</v>
      </c>
      <c r="J13" s="146"/>
      <c r="K13" s="132" t="e">
        <f>HLOOKUP(K$10,Calculation!$C$34:$P$48,4,FALSE)</f>
        <v>#N/A</v>
      </c>
      <c r="L13" s="133"/>
      <c r="M13" s="132" t="e">
        <f>HLOOKUP(M$10,Calculation!$C$34:$P$48,4,FALSE)</f>
        <v>#N/A</v>
      </c>
      <c r="N13" s="206"/>
      <c r="O13" s="37"/>
      <c r="P13" s="43"/>
      <c r="Q13" s="44"/>
      <c r="R13" s="27"/>
      <c r="S13" s="45"/>
    </row>
    <row r="14" spans="1:20" s="36" customFormat="1" ht="17.100000000000001" customHeight="1">
      <c r="A14" s="3"/>
      <c r="B14" s="160" t="str">
        <f>CONCATENATE(Calculation!B5,"-",Calculation!F5,Calculation!D5)</f>
        <v>CLU028-1204C4-50BV1N3</v>
      </c>
      <c r="C14" s="161"/>
      <c r="D14" s="162"/>
      <c r="E14" s="180">
        <f>HLOOKUP(E$10,Calculation!$C$34:$P$48,5,FALSE)</f>
        <v>348.16650920055224</v>
      </c>
      <c r="F14" s="181"/>
      <c r="G14" s="145">
        <f>HLOOKUP(G$10,Calculation!$C$34:$P$48,5,FALSE)</f>
        <v>33.037959959042595</v>
      </c>
      <c r="H14" s="146"/>
      <c r="I14" s="145">
        <f>HLOOKUP(I$10,Calculation!$C$34:$P$48,5,FALSE)</f>
        <v>2.9734163963138336</v>
      </c>
      <c r="J14" s="146"/>
      <c r="K14" s="132">
        <f>HLOOKUP(K$10,Calculation!$C$34:$P$48,5,FALSE)</f>
        <v>117.09308848642149</v>
      </c>
      <c r="L14" s="133"/>
      <c r="M14" s="132">
        <f>HLOOKUP(M$10,Calculation!$C$34:$P$48,5,FALSE)</f>
        <v>27.705808920645588</v>
      </c>
      <c r="N14" s="206"/>
      <c r="O14" s="37"/>
      <c r="P14" s="43"/>
      <c r="Q14" s="44"/>
      <c r="R14" s="27"/>
      <c r="S14" s="46"/>
      <c r="T14" s="46"/>
    </row>
    <row r="15" spans="1:20" s="36" customFormat="1" ht="17.100000000000001" hidden="1" customHeight="1">
      <c r="A15" s="3"/>
      <c r="B15" s="163" t="str">
        <f>CONCATENATE(Calculation!B6,"-",Calculation!F6,Calculation!D6)</f>
        <v>CLU038-1205C4-50BV1N3</v>
      </c>
      <c r="C15" s="164"/>
      <c r="D15" s="165"/>
      <c r="E15" s="182" t="e">
        <f>HLOOKUP(E$10,Calculation!$C$34:$P$48,6,FALSE)</f>
        <v>#N/A</v>
      </c>
      <c r="F15" s="183"/>
      <c r="G15" s="147" t="e">
        <f>HLOOKUP(G$10,Calculation!$C$34:$P$48,6,FALSE)</f>
        <v>#N/A</v>
      </c>
      <c r="H15" s="148"/>
      <c r="I15" s="147" t="e">
        <f>HLOOKUP(I$10,Calculation!$C$34:$P$48,6,FALSE)</f>
        <v>#N/A</v>
      </c>
      <c r="J15" s="148"/>
      <c r="K15" s="224" t="e">
        <f>HLOOKUP(K$10,Calculation!$C$34:$P$48,6,FALSE)</f>
        <v>#N/A</v>
      </c>
      <c r="L15" s="225"/>
      <c r="M15" s="224" t="e">
        <f>HLOOKUP(M$10,Calculation!$C$34:$P$48,6,FALSE)</f>
        <v>#N/A</v>
      </c>
      <c r="N15" s="229"/>
      <c r="O15" s="37"/>
      <c r="P15" s="43"/>
      <c r="Q15" s="44"/>
      <c r="R15" s="27"/>
      <c r="S15" s="46"/>
      <c r="T15" s="46"/>
    </row>
    <row r="16" spans="1:20" s="36" customFormat="1" ht="17.100000000000001" customHeight="1">
      <c r="A16" s="3"/>
      <c r="B16" s="166" t="str">
        <f>CONCATENATE(Calculation!B7,"-",Calculation!F7,Calculation!D7)</f>
        <v>CLU038-1206C4-50BV1N3</v>
      </c>
      <c r="C16" s="167"/>
      <c r="D16" s="168"/>
      <c r="E16" s="184">
        <f>HLOOKUP(E$10,Calculation!$C$34:$P$48,7,FALSE)</f>
        <v>363.54328204855881</v>
      </c>
      <c r="F16" s="185"/>
      <c r="G16" s="149">
        <f>HLOOKUP(G$10,Calculation!$C$34:$P$48,7,FALSE)</f>
        <v>32.682971778661567</v>
      </c>
      <c r="H16" s="150"/>
      <c r="I16" s="149">
        <f>HLOOKUP(I$10,Calculation!$C$34:$P$48,7,FALSE)</f>
        <v>2.941467460079541</v>
      </c>
      <c r="J16" s="150"/>
      <c r="K16" s="134">
        <f>HLOOKUP(K$10,Calculation!$C$34:$P$48,7,FALSE)</f>
        <v>123.59248809732817</v>
      </c>
      <c r="L16" s="135"/>
      <c r="M16" s="134">
        <f>HLOOKUP(M$10,Calculation!$C$34:$P$48,7,FALSE)</f>
        <v>26.882539174450905</v>
      </c>
      <c r="N16" s="230"/>
      <c r="O16" s="37"/>
      <c r="P16" s="43"/>
      <c r="Q16" s="44"/>
      <c r="R16" s="27"/>
      <c r="S16" s="46"/>
      <c r="T16" s="46"/>
    </row>
    <row r="17" spans="1:20" s="36" customFormat="1" ht="17.100000000000001" customHeight="1">
      <c r="A17" s="3"/>
      <c r="B17" s="166" t="str">
        <f>CONCATENATE(Calculation!B8,"-",Calculation!F8,Calculation!D8)</f>
        <v>CLU038-1208C4-50BV1N3</v>
      </c>
      <c r="C17" s="167"/>
      <c r="D17" s="168"/>
      <c r="E17" s="184">
        <f>HLOOKUP(E$10,Calculation!$C$34:$P$48,8,FALSE)</f>
        <v>358.17335191826925</v>
      </c>
      <c r="F17" s="185"/>
      <c r="G17" s="149">
        <f>HLOOKUP(G$10,Calculation!$C$34:$P$48,8,FALSE)</f>
        <v>32.494933406061541</v>
      </c>
      <c r="H17" s="150"/>
      <c r="I17" s="149">
        <f>HLOOKUP(I$10,Calculation!$C$34:$P$48,8,FALSE)</f>
        <v>2.9245440065455388</v>
      </c>
      <c r="J17" s="150"/>
      <c r="K17" s="134">
        <f>HLOOKUP(K$10,Calculation!$C$34:$P$48,8,FALSE)</f>
        <v>122.47152072823222</v>
      </c>
      <c r="L17" s="135"/>
      <c r="M17" s="134">
        <f>HLOOKUP(M$10,Calculation!$C$34:$P$48,8,FALSE)</f>
        <v>26.491517443338225</v>
      </c>
      <c r="N17" s="230"/>
      <c r="O17" s="37"/>
      <c r="P17" s="43"/>
      <c r="Q17" s="44"/>
      <c r="R17" s="27"/>
      <c r="S17" s="46"/>
      <c r="T17" s="46"/>
    </row>
    <row r="18" spans="1:20" s="36" customFormat="1" ht="17.100000000000001" hidden="1" customHeight="1">
      <c r="A18" s="3"/>
      <c r="B18" s="166" t="str">
        <f>CONCATENATE(Calculation!B9,"-",Calculation!F9,Calculation!D9)</f>
        <v>CLU038-1210C4-50BV1N3</v>
      </c>
      <c r="C18" s="169"/>
      <c r="D18" s="170"/>
      <c r="E18" s="184" t="e">
        <f>HLOOKUP(E$10,Calculation!$C$34:$P$48,9,FALSE)</f>
        <v>#N/A</v>
      </c>
      <c r="F18" s="185"/>
      <c r="G18" s="149" t="e">
        <f>HLOOKUP(G$10,Calculation!$C$34:$P$48,9,FALSE)</f>
        <v>#N/A</v>
      </c>
      <c r="H18" s="150"/>
      <c r="I18" s="149" t="e">
        <f>HLOOKUP(I$10,Calculation!$C$34:$P$48,9,FALSE)</f>
        <v>#N/A</v>
      </c>
      <c r="J18" s="150"/>
      <c r="K18" s="134" t="e">
        <f>HLOOKUP(K$10,Calculation!$C$34:$P$48,9,FALSE)</f>
        <v>#N/A</v>
      </c>
      <c r="L18" s="135"/>
      <c r="M18" s="134" t="e">
        <f>HLOOKUP(M$10,Calculation!$C$34:$P$48,9,FALSE)</f>
        <v>#N/A</v>
      </c>
      <c r="N18" s="230"/>
      <c r="O18" s="37"/>
      <c r="P18" s="43"/>
      <c r="Q18" s="44"/>
      <c r="R18" s="27"/>
      <c r="S18" s="46"/>
      <c r="T18" s="46"/>
    </row>
    <row r="19" spans="1:20" s="36" customFormat="1" ht="17.100000000000001" hidden="1" customHeight="1">
      <c r="A19" s="3"/>
      <c r="B19" s="136" t="str">
        <f>CONCATENATE(Calculation!B10,"-",Calculation!F9,Calculation!D9)</f>
        <v>CLU048-1211C4-50BV1N3</v>
      </c>
      <c r="C19" s="137"/>
      <c r="D19" s="138"/>
      <c r="E19" s="139" t="e">
        <f>HLOOKUP(E$10,Calculation!$C$34:$P$48,10,FALSE)</f>
        <v>#N/A</v>
      </c>
      <c r="F19" s="140"/>
      <c r="G19" s="141" t="e">
        <f>HLOOKUP(G$10,Calculation!$C$34:$P$48,10,FALSE)</f>
        <v>#N/A</v>
      </c>
      <c r="H19" s="142"/>
      <c r="I19" s="141" t="e">
        <f>HLOOKUP(I$10,Calculation!$C$34:$P$48,10,FALSE)</f>
        <v>#N/A</v>
      </c>
      <c r="J19" s="142"/>
      <c r="K19" s="143" t="e">
        <f>HLOOKUP(K$10,Calculation!$C$34:$P$48,10,FALSE)</f>
        <v>#N/A</v>
      </c>
      <c r="L19" s="144"/>
      <c r="M19" s="143" t="e">
        <f>HLOOKUP(M$10,Calculation!$C$34:$P$48,10,FALSE)</f>
        <v>#N/A</v>
      </c>
      <c r="N19" s="202"/>
      <c r="O19" s="37"/>
      <c r="P19" s="43"/>
      <c r="Q19" s="44"/>
      <c r="R19" s="27"/>
      <c r="S19" s="46"/>
      <c r="T19" s="46"/>
    </row>
    <row r="20" spans="1:20" s="36" customFormat="1" ht="17.100000000000001" customHeight="1">
      <c r="A20" s="3"/>
      <c r="B20" s="136" t="str">
        <f>CONCATENATE(Calculation!B11,"-",Calculation!F11,Calculation!D11)</f>
        <v>CLU048-1212C4-50BV1N3</v>
      </c>
      <c r="C20" s="137"/>
      <c r="D20" s="138"/>
      <c r="E20" s="139">
        <f>HLOOKUP(E$10,Calculation!$C$34:$P$48,11,FALSE)</f>
        <v>373.77580566217551</v>
      </c>
      <c r="F20" s="140"/>
      <c r="G20" s="141">
        <f>HLOOKUP(G$10,Calculation!$C$34:$P$48,11,FALSE)</f>
        <v>32.319049785281464</v>
      </c>
      <c r="H20" s="142"/>
      <c r="I20" s="141">
        <f>HLOOKUP(I$10,Calculation!$C$34:$P$48,11,FALSE)</f>
        <v>2.9087144806753318</v>
      </c>
      <c r="J20" s="142"/>
      <c r="K20" s="143">
        <f>HLOOKUP(K$10,Calculation!$C$34:$P$48,11,FALSE)</f>
        <v>128.50206101198148</v>
      </c>
      <c r="L20" s="144"/>
      <c r="M20" s="143">
        <f>HLOOKUP(M$10,Calculation!$C$34:$P$48,11,FALSE)</f>
        <v>25.988962923429614</v>
      </c>
      <c r="N20" s="202"/>
      <c r="O20" s="37"/>
      <c r="P20" s="43"/>
      <c r="Q20" s="44"/>
      <c r="R20" s="27"/>
      <c r="S20" s="46"/>
      <c r="T20" s="46"/>
    </row>
    <row r="21" spans="1:20" s="36" customFormat="1" ht="17.100000000000001" customHeight="1" thickBot="1">
      <c r="A21" s="3"/>
      <c r="B21" s="171" t="str">
        <f>CONCATENATE(Calculation!B12,"-",Calculation!F12,Calculation!D12)</f>
        <v>CLU048-1812C4-50BV1N3</v>
      </c>
      <c r="C21" s="172"/>
      <c r="D21" s="173"/>
      <c r="E21" s="186">
        <f>HLOOKUP(E$10,Calculation!$C$34:$P$48,12,FALSE)</f>
        <v>545.66874083882624</v>
      </c>
      <c r="F21" s="187"/>
      <c r="G21" s="194">
        <f>HLOOKUP(G$10,Calculation!$C$34:$P$48,12,FALSE)</f>
        <v>48.442255814026538</v>
      </c>
      <c r="H21" s="195"/>
      <c r="I21" s="194">
        <f>HLOOKUP(I$10,Calculation!$C$34:$P$48,12,FALSE)</f>
        <v>4.3598030232623888</v>
      </c>
      <c r="J21" s="195"/>
      <c r="K21" s="203">
        <f>HLOOKUP(K$10,Calculation!$C$34:$P$48,12,FALSE)</f>
        <v>125.15903538011422</v>
      </c>
      <c r="L21" s="207"/>
      <c r="M21" s="203">
        <f>HLOOKUP(M$10,Calculation!$C$34:$P$48,12,FALSE)</f>
        <v>26.089950755815597</v>
      </c>
      <c r="N21" s="204"/>
      <c r="O21" s="37"/>
      <c r="P21" s="43"/>
      <c r="Q21" s="44"/>
      <c r="R21" s="27"/>
      <c r="S21" s="46"/>
      <c r="T21" s="46"/>
    </row>
    <row r="22" spans="1:20" s="36" customFormat="1" ht="17.100000000000001" hidden="1" customHeight="1">
      <c r="A22" s="3"/>
      <c r="B22" s="174" t="str">
        <f>CONCATENATE(Calculation!B13,"-",Calculation!F13,Calculation!D13)</f>
        <v>CLU048-1818C4-50BV1N3</v>
      </c>
      <c r="C22" s="175"/>
      <c r="D22" s="176"/>
      <c r="E22" s="188" t="e">
        <f>HLOOKUP(E$10,Calculation!$C$34:$P$48,13,FALSE)</f>
        <v>#N/A</v>
      </c>
      <c r="F22" s="189"/>
      <c r="G22" s="196" t="e">
        <f>HLOOKUP(G$10,Calculation!$C$34:$P$48,13,FALSE)</f>
        <v>#N/A</v>
      </c>
      <c r="H22" s="197"/>
      <c r="I22" s="196" t="e">
        <f>HLOOKUP(I$10,Calculation!$C$34:$P$48,13,FALSE)</f>
        <v>#N/A</v>
      </c>
      <c r="J22" s="197"/>
      <c r="K22" s="221" t="e">
        <f>HLOOKUP(K$10,Calculation!$C$34:$P$48,13,FALSE)</f>
        <v>#N/A</v>
      </c>
      <c r="L22" s="222"/>
      <c r="M22" s="221" t="e">
        <f>HLOOKUP(M$10,Calculation!$C$34:$P$48,13,FALSE)</f>
        <v>#N/A</v>
      </c>
      <c r="N22" s="227"/>
      <c r="O22" s="37"/>
      <c r="P22" s="43"/>
      <c r="Q22" s="44"/>
      <c r="R22" s="27"/>
      <c r="S22" s="45"/>
    </row>
    <row r="23" spans="1:20" s="36" customFormat="1" ht="17.100000000000001" hidden="1" customHeight="1">
      <c r="A23" s="3"/>
      <c r="B23" s="154" t="str">
        <f>CONCATENATE(Calculation!B14,"-",Calculation!F14,Calculation!D14)</f>
        <v>CLU058-1825C4-50BV1N3</v>
      </c>
      <c r="C23" s="155"/>
      <c r="D23" s="156"/>
      <c r="E23" s="177" t="e">
        <f>HLOOKUP(E$10,Calculation!$C$34:$P$48,14,FALSE)</f>
        <v>#N/A</v>
      </c>
      <c r="F23" s="178"/>
      <c r="G23" s="192" t="e">
        <f>HLOOKUP(G$10,Calculation!$C$34:$P$48,14,FALSE)</f>
        <v>#N/A</v>
      </c>
      <c r="H23" s="193"/>
      <c r="I23" s="192" t="e">
        <f>HLOOKUP(I$10,Calculation!$C$34:$P$48,14,FALSE)</f>
        <v>#N/A</v>
      </c>
      <c r="J23" s="193"/>
      <c r="K23" s="223" t="e">
        <f>HLOOKUP(K$10,Calculation!$C$34:$P$48,14,FALSE)</f>
        <v>#N/A</v>
      </c>
      <c r="L23" s="135"/>
      <c r="M23" s="223" t="e">
        <f>HLOOKUP(M$10,Calculation!$C$34:$P$48,14,FALSE)</f>
        <v>#N/A</v>
      </c>
      <c r="N23" s="228"/>
      <c r="O23" s="37"/>
      <c r="P23" s="43"/>
      <c r="Q23" s="44"/>
      <c r="R23" s="27"/>
      <c r="S23" s="45"/>
    </row>
    <row r="24" spans="1:20" s="36" customFormat="1" ht="17.100000000000001" hidden="1" customHeight="1" thickBot="1">
      <c r="A24" s="3"/>
      <c r="B24" s="212" t="str">
        <f>CONCATENATE(Calculation!B15,"-",Calculation!F15,Calculation!D15)</f>
        <v>CLU058-3618C4-50BV1N3</v>
      </c>
      <c r="C24" s="213"/>
      <c r="D24" s="214"/>
      <c r="E24" s="215" t="e">
        <f>HLOOKUP(E$10,Calculation!$C$34:$P$48,15,FALSE)</f>
        <v>#N/A</v>
      </c>
      <c r="F24" s="216"/>
      <c r="G24" s="217" t="e">
        <f>HLOOKUP(G$10,Calculation!$C$34:$P$48,15,FALSE)</f>
        <v>#N/A</v>
      </c>
      <c r="H24" s="218"/>
      <c r="I24" s="217" t="e">
        <f>HLOOKUP(I$10,Calculation!$C$34:$P$48,15,FALSE)</f>
        <v>#N/A</v>
      </c>
      <c r="J24" s="218"/>
      <c r="K24" s="219" t="e">
        <f>HLOOKUP(K$10,Calculation!$C$34:$P$48,15,FALSE)</f>
        <v>#N/A</v>
      </c>
      <c r="L24" s="220"/>
      <c r="M24" s="219" t="e">
        <f>HLOOKUP(M$10,Calculation!$C$34:$P$48,15,FALSE)</f>
        <v>#N/A</v>
      </c>
      <c r="N24" s="226"/>
      <c r="O24" s="37"/>
      <c r="P24" s="43"/>
      <c r="Q24" s="44"/>
      <c r="R24" s="27"/>
      <c r="S24" s="45"/>
    </row>
    <row r="25" spans="1:20" ht="24.95" customHeight="1">
      <c r="A25" s="3"/>
      <c r="B25" s="3"/>
      <c r="C25" s="24" t="s">
        <v>14</v>
      </c>
      <c r="D25" s="3"/>
      <c r="E25" s="3"/>
      <c r="F25" s="3"/>
      <c r="G25" s="3"/>
      <c r="H25" s="3"/>
      <c r="I25" s="3"/>
      <c r="J25" s="25"/>
      <c r="K25" s="36"/>
      <c r="N25" s="110" t="s">
        <v>122</v>
      </c>
    </row>
    <row r="26" spans="1:20" ht="12.9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20" ht="12.95" customHeight="1">
      <c r="A27" s="36"/>
      <c r="B27" s="38" t="s">
        <v>73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20" ht="17.100000000000001" customHeight="1">
      <c r="A28" s="36"/>
      <c r="B28" s="38" t="s">
        <v>74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20" ht="17.100000000000001" customHeight="1">
      <c r="A29" s="36"/>
      <c r="B29" s="38" t="s">
        <v>75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20" ht="17.100000000000001" customHeight="1">
      <c r="A30" s="36"/>
      <c r="B30" s="38" t="s">
        <v>76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20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20" ht="1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22" ht="1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2" ht="1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6" spans="1:22">
      <c r="U36" s="28"/>
      <c r="V36" s="28"/>
    </row>
    <row r="39" spans="1:22">
      <c r="V39" s="39"/>
    </row>
    <row r="40" spans="1:22">
      <c r="V40" s="39"/>
    </row>
    <row r="41" spans="1:22">
      <c r="V41" s="39"/>
    </row>
    <row r="42" spans="1:22">
      <c r="U42" s="40"/>
      <c r="V42" s="39"/>
    </row>
    <row r="43" spans="1:22">
      <c r="V43" s="39"/>
    </row>
    <row r="51" spans="2:4">
      <c r="B51" s="41"/>
      <c r="C51" s="41"/>
      <c r="D51" s="41"/>
    </row>
    <row r="52" spans="2:4">
      <c r="B52" s="41"/>
      <c r="C52" s="41"/>
      <c r="D52" s="41"/>
    </row>
  </sheetData>
  <sheetProtection password="C071" sheet="1" objects="1" scenarios="1"/>
  <mergeCells count="92">
    <mergeCell ref="K22:L22"/>
    <mergeCell ref="K23:L23"/>
    <mergeCell ref="K15:L15"/>
    <mergeCell ref="M24:N24"/>
    <mergeCell ref="M22:N22"/>
    <mergeCell ref="M23:N23"/>
    <mergeCell ref="M15:N15"/>
    <mergeCell ref="M16:N16"/>
    <mergeCell ref="M17:N17"/>
    <mergeCell ref="M18:N18"/>
    <mergeCell ref="K16:L16"/>
    <mergeCell ref="K17:L17"/>
    <mergeCell ref="B24:D24"/>
    <mergeCell ref="E24:F24"/>
    <mergeCell ref="G24:H24"/>
    <mergeCell ref="I24:J24"/>
    <mergeCell ref="K24:L24"/>
    <mergeCell ref="L6:M6"/>
    <mergeCell ref="J6:K6"/>
    <mergeCell ref="M20:N20"/>
    <mergeCell ref="M21:N21"/>
    <mergeCell ref="M9:N9"/>
    <mergeCell ref="M12:N12"/>
    <mergeCell ref="M13:N13"/>
    <mergeCell ref="M14:N14"/>
    <mergeCell ref="K20:L20"/>
    <mergeCell ref="K21:L21"/>
    <mergeCell ref="K9:L9"/>
    <mergeCell ref="K12:L12"/>
    <mergeCell ref="K13:L13"/>
    <mergeCell ref="M11:N11"/>
    <mergeCell ref="M19:N19"/>
    <mergeCell ref="K11:L11"/>
    <mergeCell ref="I22:J22"/>
    <mergeCell ref="I23:J23"/>
    <mergeCell ref="I9:J9"/>
    <mergeCell ref="I12:J12"/>
    <mergeCell ref="I13:J13"/>
    <mergeCell ref="I14:J14"/>
    <mergeCell ref="I15:J15"/>
    <mergeCell ref="I16:J16"/>
    <mergeCell ref="I17:J17"/>
    <mergeCell ref="I18:J18"/>
    <mergeCell ref="I20:J20"/>
    <mergeCell ref="I21:J21"/>
    <mergeCell ref="I11:J11"/>
    <mergeCell ref="G23:H23"/>
    <mergeCell ref="G20:H20"/>
    <mergeCell ref="G21:H21"/>
    <mergeCell ref="G22:H22"/>
    <mergeCell ref="G18:H18"/>
    <mergeCell ref="B11:D11"/>
    <mergeCell ref="E23:F23"/>
    <mergeCell ref="E9:F9"/>
    <mergeCell ref="E12:F12"/>
    <mergeCell ref="E13:F13"/>
    <mergeCell ref="E14:F14"/>
    <mergeCell ref="E15:F15"/>
    <mergeCell ref="E16:F16"/>
    <mergeCell ref="E17:F17"/>
    <mergeCell ref="E18:F18"/>
    <mergeCell ref="E20:F20"/>
    <mergeCell ref="E21:F21"/>
    <mergeCell ref="E22:F22"/>
    <mergeCell ref="E11:F11"/>
    <mergeCell ref="G11:H11"/>
    <mergeCell ref="G9:H9"/>
    <mergeCell ref="G12:H12"/>
    <mergeCell ref="G13:H13"/>
    <mergeCell ref="B23:D23"/>
    <mergeCell ref="B9:D9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K14:L14"/>
    <mergeCell ref="K18:L18"/>
    <mergeCell ref="B19:D19"/>
    <mergeCell ref="E19:F19"/>
    <mergeCell ref="G19:H19"/>
    <mergeCell ref="I19:J19"/>
    <mergeCell ref="K19:L19"/>
    <mergeCell ref="G14:H14"/>
    <mergeCell ref="G15:H15"/>
    <mergeCell ref="G16:H16"/>
    <mergeCell ref="G17:H17"/>
  </mergeCells>
  <phoneticPr fontId="3"/>
  <conditionalFormatting sqref="E13:N18 E20:N22">
    <cfRule type="cellIs" dxfId="9" priority="13" stopIfTrue="1" operator="equal">
      <formula>"Not Applicable"</formula>
    </cfRule>
  </conditionalFormatting>
  <conditionalFormatting sqref="E12:N12">
    <cfRule type="cellIs" dxfId="8" priority="14" stopIfTrue="1" operator="equal">
      <formula>"Not Applicable"</formula>
    </cfRule>
  </conditionalFormatting>
  <conditionalFormatting sqref="L6:M6">
    <cfRule type="cellIs" dxfId="7" priority="16" stopIfTrue="1" operator="greaterThanOrEqual">
      <formula>105.001</formula>
    </cfRule>
    <cfRule type="cellIs" dxfId="6" priority="17" stopIfTrue="1" operator="lessThanOrEqual">
      <formula>-40.001</formula>
    </cfRule>
  </conditionalFormatting>
  <conditionalFormatting sqref="E23:N23">
    <cfRule type="cellIs" dxfId="5" priority="18" stopIfTrue="1" operator="equal">
      <formula>"Not Applicable"</formula>
    </cfRule>
  </conditionalFormatting>
  <conditionalFormatting sqref="E11:N11">
    <cfRule type="cellIs" dxfId="4" priority="3" stopIfTrue="1" operator="equal">
      <formula>"Not Applicable"</formula>
    </cfRule>
  </conditionalFormatting>
  <conditionalFormatting sqref="E24:N24">
    <cfRule type="cellIs" dxfId="3" priority="2" stopIfTrue="1" operator="equal">
      <formula>"Not Applicable"</formula>
    </cfRule>
  </conditionalFormatting>
  <conditionalFormatting sqref="E19:N19">
    <cfRule type="cellIs" dxfId="2" priority="1" stopIfTrue="1" operator="equal">
      <formula>"Not Applicable"</formula>
    </cfRule>
  </conditionalFormatting>
  <pageMargins left="0.39370078740157483" right="0.39370078740157483" top="0.39370078740157483" bottom="0.39370078740157483" header="0.51181102362204722" footer="0.51181102362204722"/>
  <pageSetup paperSize="9" scale="14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Drop Down 14">
              <controlPr locked="0" defaultSize="0" autoLine="0" autoPict="0">
                <anchor moveWithCells="1">
                  <from>
                    <xdr:col>2</xdr:col>
                    <xdr:colOff>9525</xdr:colOff>
                    <xdr:row>4</xdr:row>
                    <xdr:rowOff>200025</xdr:rowOff>
                  </from>
                  <to>
                    <xdr:col>3</xdr:col>
                    <xdr:colOff>333375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locked="0" defaultSize="0" autoLine="0" autoPict="0">
                <anchor moveWithCells="1">
                  <from>
                    <xdr:col>3</xdr:col>
                    <xdr:colOff>533400</xdr:colOff>
                    <xdr:row>4</xdr:row>
                    <xdr:rowOff>200025</xdr:rowOff>
                  </from>
                  <to>
                    <xdr:col>5</xdr:col>
                    <xdr:colOff>495300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86"/>
  <sheetViews>
    <sheetView view="pageBreakPreview" topLeftCell="AG187" zoomScale="70" zoomScaleNormal="75" zoomScaleSheetLayoutView="70" workbookViewId="0">
      <selection activeCell="AW193" sqref="AW193"/>
    </sheetView>
  </sheetViews>
  <sheetFormatPr defaultColWidth="2.5" defaultRowHeight="23.25" customHeight="1"/>
  <cols>
    <col min="1" max="1" width="3.125" style="49" hidden="1" customWidth="1"/>
    <col min="2" max="2" width="16.75" style="49" hidden="1" customWidth="1"/>
    <col min="3" max="17" width="15.625" style="49" hidden="1" customWidth="1"/>
    <col min="18" max="18" width="21.75" style="49" hidden="1" customWidth="1"/>
    <col min="19" max="21" width="15.625" style="49" hidden="1" customWidth="1"/>
    <col min="22" max="24" width="20.375" style="49" hidden="1" customWidth="1"/>
    <col min="25" max="29" width="19.625" style="49" hidden="1" customWidth="1"/>
    <col min="30" max="32" width="12.5" style="49" hidden="1" customWidth="1"/>
    <col min="33" max="16384" width="2.5" style="49"/>
  </cols>
  <sheetData>
    <row r="1" spans="1:24" ht="14.25" hidden="1">
      <c r="A1" s="48"/>
      <c r="B1" s="48" t="s">
        <v>15</v>
      </c>
      <c r="C1" s="48"/>
      <c r="D1" s="48"/>
      <c r="E1" s="48"/>
      <c r="F1" s="48"/>
      <c r="G1" s="48"/>
      <c r="I1" s="50" t="s">
        <v>16</v>
      </c>
      <c r="J1" s="50" t="s">
        <v>17</v>
      </c>
      <c r="K1" s="50" t="s">
        <v>18</v>
      </c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4" ht="14.25" hidden="1">
      <c r="A2" s="48"/>
      <c r="B2" s="111" t="s">
        <v>84</v>
      </c>
      <c r="C2" s="48" t="str">
        <f>VLOOKUP(Simulator!$C$6,G2:K22,2,FALSE)</f>
        <v>C4</v>
      </c>
      <c r="D2" s="48" t="str">
        <f>VLOOKUP(Simulator!$C$6,G2:K22,5,FALSE)</f>
        <v>N3</v>
      </c>
      <c r="E2" s="48" t="str">
        <f>VLOOKUP(Simulator!$C$6,$G$2:$K$22,3,FALSE)</f>
        <v>5000K,Brilliant</v>
      </c>
      <c r="F2" s="48" t="str">
        <f>VLOOKUP(Simulator!$C$6,G2:K22,4,FALSE)</f>
        <v>50BV1</v>
      </c>
      <c r="G2" s="48">
        <v>1</v>
      </c>
      <c r="H2" s="114" t="s">
        <v>97</v>
      </c>
      <c r="I2" s="51" t="s">
        <v>105</v>
      </c>
      <c r="J2" s="111" t="s">
        <v>115</v>
      </c>
      <c r="K2" s="111" t="s">
        <v>121</v>
      </c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4.25" hidden="1">
      <c r="A3" s="48"/>
      <c r="B3" s="111" t="s">
        <v>85</v>
      </c>
      <c r="C3" s="48" t="str">
        <f t="shared" ref="C3:C15" si="0">$C$2</f>
        <v>C4</v>
      </c>
      <c r="D3" s="48" t="str">
        <f t="shared" ref="D3:D15" si="1">$D$2</f>
        <v>N3</v>
      </c>
      <c r="E3" s="48" t="str">
        <f>$E$2</f>
        <v>5000K,Brilliant</v>
      </c>
      <c r="F3" s="48" t="str">
        <f t="shared" ref="F3:F8" si="2">$F$2</f>
        <v>50BV1</v>
      </c>
      <c r="G3" s="48">
        <v>2</v>
      </c>
      <c r="H3" s="114" t="s">
        <v>97</v>
      </c>
      <c r="I3" s="51" t="s">
        <v>106</v>
      </c>
      <c r="J3" s="111" t="s">
        <v>116</v>
      </c>
      <c r="K3" s="111" t="s">
        <v>121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52"/>
    </row>
    <row r="4" spans="1:24" ht="14.25" hidden="1">
      <c r="A4" s="48"/>
      <c r="B4" s="111" t="s">
        <v>86</v>
      </c>
      <c r="C4" s="48" t="str">
        <f t="shared" si="0"/>
        <v>C4</v>
      </c>
      <c r="D4" s="48" t="str">
        <f t="shared" si="1"/>
        <v>N3</v>
      </c>
      <c r="E4" s="48" t="str">
        <f>$E$2</f>
        <v>5000K,Brilliant</v>
      </c>
      <c r="F4" s="48" t="str">
        <f t="shared" si="2"/>
        <v>50BV1</v>
      </c>
      <c r="G4" s="48">
        <v>3</v>
      </c>
      <c r="H4" s="114" t="s">
        <v>97</v>
      </c>
      <c r="I4" s="51" t="s">
        <v>107</v>
      </c>
      <c r="J4" s="111" t="s">
        <v>117</v>
      </c>
      <c r="K4" s="111" t="s">
        <v>121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52"/>
    </row>
    <row r="5" spans="1:24" ht="14.25" hidden="1">
      <c r="A5" s="48"/>
      <c r="B5" s="111" t="s">
        <v>87</v>
      </c>
      <c r="C5" s="48" t="str">
        <f t="shared" si="0"/>
        <v>C4</v>
      </c>
      <c r="D5" s="48" t="str">
        <f t="shared" si="1"/>
        <v>N3</v>
      </c>
      <c r="E5" s="48" t="str">
        <f t="shared" ref="E5:E14" si="3">$E$2</f>
        <v>5000K,Brilliant</v>
      </c>
      <c r="F5" s="48" t="str">
        <f t="shared" si="2"/>
        <v>50BV1</v>
      </c>
      <c r="G5" s="48">
        <v>4</v>
      </c>
      <c r="H5" s="114" t="s">
        <v>97</v>
      </c>
      <c r="I5" s="51" t="s">
        <v>108</v>
      </c>
      <c r="J5" s="111" t="s">
        <v>118</v>
      </c>
      <c r="K5" s="111" t="s">
        <v>121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52"/>
    </row>
    <row r="6" spans="1:24" ht="14.25" hidden="1">
      <c r="A6" s="48"/>
      <c r="B6" s="111" t="s">
        <v>88</v>
      </c>
      <c r="C6" s="48" t="str">
        <f t="shared" si="0"/>
        <v>C4</v>
      </c>
      <c r="D6" s="48" t="str">
        <f t="shared" si="1"/>
        <v>N3</v>
      </c>
      <c r="E6" s="48" t="str">
        <f t="shared" si="3"/>
        <v>5000K,Brilliant</v>
      </c>
      <c r="F6" s="48" t="str">
        <f t="shared" si="2"/>
        <v>50BV1</v>
      </c>
      <c r="G6" s="48">
        <v>5</v>
      </c>
      <c r="H6" s="114" t="s">
        <v>97</v>
      </c>
      <c r="I6" s="51" t="s">
        <v>109</v>
      </c>
      <c r="J6" s="111" t="s">
        <v>119</v>
      </c>
      <c r="K6" s="111" t="s">
        <v>121</v>
      </c>
      <c r="R6" s="48"/>
      <c r="S6" s="48"/>
      <c r="T6" s="48"/>
      <c r="U6" s="48"/>
      <c r="V6" s="48"/>
      <c r="W6" s="48"/>
      <c r="X6" s="52"/>
    </row>
    <row r="7" spans="1:24" ht="14.25" hidden="1">
      <c r="A7" s="48"/>
      <c r="B7" s="111" t="s">
        <v>89</v>
      </c>
      <c r="C7" s="48" t="str">
        <f t="shared" si="0"/>
        <v>C4</v>
      </c>
      <c r="D7" s="48" t="str">
        <f t="shared" si="1"/>
        <v>N3</v>
      </c>
      <c r="E7" s="48" t="str">
        <f t="shared" si="3"/>
        <v>5000K,Brilliant</v>
      </c>
      <c r="F7" s="48" t="str">
        <f t="shared" si="2"/>
        <v>50BV1</v>
      </c>
      <c r="G7" s="48">
        <v>6</v>
      </c>
      <c r="H7" s="114" t="s">
        <v>97</v>
      </c>
      <c r="I7" s="51" t="s">
        <v>100</v>
      </c>
      <c r="J7" s="111" t="s">
        <v>110</v>
      </c>
      <c r="K7" s="111" t="s">
        <v>120</v>
      </c>
      <c r="N7" s="48"/>
      <c r="O7" s="48"/>
      <c r="P7" s="48"/>
      <c r="Q7" s="48"/>
      <c r="X7" s="52"/>
    </row>
    <row r="8" spans="1:24" ht="14.25" hidden="1">
      <c r="A8" s="48"/>
      <c r="B8" s="111" t="s">
        <v>90</v>
      </c>
      <c r="C8" s="48" t="str">
        <f t="shared" si="0"/>
        <v>C4</v>
      </c>
      <c r="D8" s="48" t="str">
        <f t="shared" si="1"/>
        <v>N3</v>
      </c>
      <c r="E8" s="48" t="str">
        <f t="shared" si="3"/>
        <v>5000K,Brilliant</v>
      </c>
      <c r="F8" s="48" t="str">
        <f t="shared" si="2"/>
        <v>50BV1</v>
      </c>
      <c r="G8" s="48">
        <v>7</v>
      </c>
      <c r="H8" s="114" t="s">
        <v>97</v>
      </c>
      <c r="I8" s="51" t="s">
        <v>101</v>
      </c>
      <c r="J8" s="111" t="s">
        <v>111</v>
      </c>
      <c r="K8" s="111" t="s">
        <v>120</v>
      </c>
      <c r="R8" s="48"/>
      <c r="S8" s="48"/>
      <c r="T8" s="48"/>
      <c r="U8" s="48"/>
      <c r="V8" s="48"/>
      <c r="W8" s="48"/>
      <c r="X8" s="52"/>
    </row>
    <row r="9" spans="1:24" ht="14.25" hidden="1">
      <c r="A9" s="48"/>
      <c r="B9" s="111" t="s">
        <v>91</v>
      </c>
      <c r="C9" s="48" t="str">
        <f t="shared" si="0"/>
        <v>C4</v>
      </c>
      <c r="D9" s="48" t="str">
        <f t="shared" si="1"/>
        <v>N3</v>
      </c>
      <c r="E9" s="48" t="str">
        <f t="shared" si="3"/>
        <v>5000K,Brilliant</v>
      </c>
      <c r="F9" s="48" t="str">
        <f t="shared" ref="F9" si="4">$F$2</f>
        <v>50BV1</v>
      </c>
      <c r="G9" s="48">
        <v>8</v>
      </c>
      <c r="H9" s="114" t="s">
        <v>97</v>
      </c>
      <c r="I9" s="51" t="s">
        <v>102</v>
      </c>
      <c r="J9" s="111" t="s">
        <v>112</v>
      </c>
      <c r="K9" s="111" t="s">
        <v>120</v>
      </c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4" ht="14.25" hidden="1">
      <c r="A10" s="48"/>
      <c r="B10" s="111" t="s">
        <v>99</v>
      </c>
      <c r="C10" s="48" t="str">
        <f t="shared" si="0"/>
        <v>C4</v>
      </c>
      <c r="D10" s="48" t="str">
        <f t="shared" si="1"/>
        <v>N3</v>
      </c>
      <c r="E10" s="48" t="str">
        <f t="shared" si="3"/>
        <v>5000K,Brilliant</v>
      </c>
      <c r="F10" s="48" t="str">
        <f t="shared" ref="F10:F15" si="5">$F$2</f>
        <v>50BV1</v>
      </c>
      <c r="G10" s="48">
        <v>9</v>
      </c>
      <c r="H10" s="114" t="s">
        <v>97</v>
      </c>
      <c r="I10" s="51" t="s">
        <v>103</v>
      </c>
      <c r="J10" s="111" t="s">
        <v>113</v>
      </c>
      <c r="K10" s="111" t="s">
        <v>120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4" ht="14.25" hidden="1">
      <c r="A11" s="48"/>
      <c r="B11" s="111" t="s">
        <v>92</v>
      </c>
      <c r="C11" s="48" t="str">
        <f t="shared" si="0"/>
        <v>C4</v>
      </c>
      <c r="D11" s="48" t="str">
        <f t="shared" si="1"/>
        <v>N3</v>
      </c>
      <c r="E11" s="48" t="str">
        <f t="shared" si="3"/>
        <v>5000K,Brilliant</v>
      </c>
      <c r="F11" s="48" t="str">
        <f t="shared" si="5"/>
        <v>50BV1</v>
      </c>
      <c r="G11" s="48">
        <v>10</v>
      </c>
      <c r="H11" s="114" t="s">
        <v>97</v>
      </c>
      <c r="I11" s="51" t="s">
        <v>104</v>
      </c>
      <c r="J11" s="111" t="s">
        <v>114</v>
      </c>
      <c r="K11" s="111" t="s">
        <v>120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4" ht="14.25" hidden="1">
      <c r="A12" s="48"/>
      <c r="B12" s="111" t="s">
        <v>93</v>
      </c>
      <c r="C12" s="48" t="str">
        <f t="shared" si="0"/>
        <v>C4</v>
      </c>
      <c r="D12" s="48" t="str">
        <f t="shared" si="1"/>
        <v>N3</v>
      </c>
      <c r="E12" s="48" t="str">
        <f t="shared" si="3"/>
        <v>5000K,Brilliant</v>
      </c>
      <c r="F12" s="48" t="str">
        <f t="shared" si="5"/>
        <v>50BV1</v>
      </c>
      <c r="G12" s="48">
        <v>11</v>
      </c>
      <c r="H12" s="114"/>
      <c r="I12" s="51"/>
      <c r="J12" s="111"/>
      <c r="K12" s="111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4" ht="14.25" hidden="1">
      <c r="A13" s="48"/>
      <c r="B13" s="111" t="s">
        <v>94</v>
      </c>
      <c r="C13" s="48" t="str">
        <f t="shared" si="0"/>
        <v>C4</v>
      </c>
      <c r="D13" s="48" t="str">
        <f t="shared" si="1"/>
        <v>N3</v>
      </c>
      <c r="E13" s="48" t="str">
        <f t="shared" si="3"/>
        <v>5000K,Brilliant</v>
      </c>
      <c r="F13" s="48" t="str">
        <f t="shared" si="5"/>
        <v>50BV1</v>
      </c>
      <c r="G13" s="48">
        <v>12</v>
      </c>
      <c r="H13" s="114"/>
      <c r="I13" s="51"/>
      <c r="J13" s="111"/>
      <c r="K13" s="111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4" ht="14.25" hidden="1">
      <c r="A14" s="48"/>
      <c r="B14" s="111" t="s">
        <v>95</v>
      </c>
      <c r="C14" s="48" t="str">
        <f t="shared" si="0"/>
        <v>C4</v>
      </c>
      <c r="D14" s="48" t="str">
        <f t="shared" si="1"/>
        <v>N3</v>
      </c>
      <c r="E14" s="48" t="str">
        <f t="shared" si="3"/>
        <v>5000K,Brilliant</v>
      </c>
      <c r="F14" s="48" t="str">
        <f t="shared" si="5"/>
        <v>50BV1</v>
      </c>
      <c r="G14" s="48">
        <v>13</v>
      </c>
      <c r="H14" s="114"/>
      <c r="I14" s="51"/>
      <c r="J14" s="111"/>
      <c r="K14" s="111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4" ht="14.25" hidden="1">
      <c r="A15" s="48"/>
      <c r="B15" s="111" t="s">
        <v>96</v>
      </c>
      <c r="C15" s="48" t="str">
        <f t="shared" si="0"/>
        <v>C4</v>
      </c>
      <c r="D15" s="48" t="str">
        <f t="shared" si="1"/>
        <v>N3</v>
      </c>
      <c r="E15" s="48" t="str">
        <f>$E$2</f>
        <v>5000K,Brilliant</v>
      </c>
      <c r="F15" s="48" t="str">
        <f t="shared" si="5"/>
        <v>50BV1</v>
      </c>
      <c r="G15" s="48">
        <v>14</v>
      </c>
      <c r="H15" s="114"/>
      <c r="I15" s="51"/>
      <c r="J15" s="111"/>
      <c r="K15" s="111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4" ht="14.25" hidden="1">
      <c r="A16" s="48"/>
      <c r="B16" s="48"/>
      <c r="C16" s="48"/>
      <c r="D16" s="48"/>
      <c r="E16" s="48"/>
      <c r="F16" s="48"/>
      <c r="G16" s="48">
        <v>15</v>
      </c>
      <c r="H16" s="114"/>
      <c r="I16" s="51"/>
      <c r="J16" s="111"/>
      <c r="K16" s="111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5" ht="14.25" hidden="1">
      <c r="A17" s="48"/>
      <c r="B17" s="48"/>
      <c r="C17" s="48"/>
      <c r="D17" s="48"/>
      <c r="E17" s="48"/>
      <c r="F17" s="48"/>
      <c r="G17" s="48">
        <v>16</v>
      </c>
      <c r="H17" s="114"/>
      <c r="I17" s="51"/>
      <c r="J17" s="111"/>
      <c r="K17" s="111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5" ht="14.25" hidden="1">
      <c r="A18" s="48"/>
      <c r="B18" s="48"/>
      <c r="C18" s="48"/>
      <c r="D18" s="48"/>
      <c r="E18" s="48"/>
      <c r="F18" s="48"/>
      <c r="G18" s="48">
        <v>17</v>
      </c>
      <c r="H18" s="114"/>
      <c r="I18" s="51"/>
      <c r="J18" s="111"/>
      <c r="K18" s="111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5" ht="14.25" hidden="1">
      <c r="A19" s="48"/>
      <c r="B19" s="48"/>
      <c r="C19" s="48"/>
      <c r="D19" s="48"/>
      <c r="E19" s="48"/>
      <c r="F19" s="48"/>
      <c r="G19" s="48">
        <v>18</v>
      </c>
      <c r="H19" s="114"/>
      <c r="I19" s="51"/>
      <c r="J19" s="111"/>
      <c r="K19" s="111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5" ht="14.25" hidden="1">
      <c r="A20" s="48"/>
      <c r="B20" s="48"/>
      <c r="C20" s="48"/>
      <c r="D20" s="48"/>
      <c r="E20" s="48"/>
      <c r="F20" s="48"/>
      <c r="G20" s="48">
        <v>19</v>
      </c>
      <c r="H20" s="114"/>
      <c r="I20" s="51"/>
      <c r="J20" s="111"/>
      <c r="K20" s="111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5" ht="14.25" hidden="1">
      <c r="A21" s="48"/>
      <c r="B21" s="48"/>
      <c r="C21" s="48"/>
      <c r="D21" s="48"/>
      <c r="E21" s="48"/>
      <c r="F21" s="48"/>
      <c r="G21" s="48">
        <v>20</v>
      </c>
      <c r="H21" s="114"/>
      <c r="I21" s="51"/>
      <c r="J21" s="111"/>
      <c r="K21" s="111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5" ht="14.25" hidden="1">
      <c r="A22" s="48"/>
      <c r="B22" s="48"/>
      <c r="C22" s="48"/>
      <c r="D22" s="48"/>
      <c r="E22" s="48"/>
      <c r="F22" s="48"/>
      <c r="G22" s="48">
        <v>21</v>
      </c>
      <c r="H22" s="114"/>
      <c r="I22" s="51"/>
      <c r="J22" s="111"/>
      <c r="K22" s="111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5" ht="14.25" hidden="1">
      <c r="A23" s="48"/>
      <c r="B23" s="48"/>
      <c r="C23" s="48"/>
      <c r="D23" s="48"/>
      <c r="E23" s="48"/>
      <c r="F23" s="48"/>
      <c r="G23" s="48"/>
      <c r="H23" s="48"/>
      <c r="I23" s="48"/>
      <c r="K23" s="51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5" ht="14.25" hidden="1">
      <c r="A24" s="48"/>
      <c r="B24" s="48"/>
      <c r="C24" s="48"/>
      <c r="D24" s="48"/>
      <c r="E24" s="48"/>
      <c r="F24" s="48"/>
      <c r="G24" s="48"/>
      <c r="H24" s="48"/>
      <c r="I24" s="48"/>
      <c r="K24" s="51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5" ht="14.25" hidden="1">
      <c r="A25" s="48"/>
      <c r="B25" s="48"/>
      <c r="C25" s="48"/>
      <c r="D25" s="48"/>
      <c r="E25" s="48"/>
      <c r="F25" s="48"/>
      <c r="G25" s="48"/>
      <c r="H25" s="48"/>
      <c r="I25" s="48"/>
      <c r="K25" s="51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5" ht="14.25" hidden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5" ht="15" hidden="1">
      <c r="A27" s="48">
        <v>1</v>
      </c>
      <c r="B27" s="53" t="s">
        <v>19</v>
      </c>
      <c r="C27" s="48" t="s">
        <v>20</v>
      </c>
      <c r="D27" s="48" t="s">
        <v>78</v>
      </c>
      <c r="E27" s="48" t="s">
        <v>64</v>
      </c>
      <c r="F27" s="48" t="s">
        <v>65</v>
      </c>
      <c r="G27" s="48" t="s">
        <v>21</v>
      </c>
      <c r="H27" s="48" t="s">
        <v>22</v>
      </c>
      <c r="I27" s="48" t="s">
        <v>23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15" hidden="1">
      <c r="A28" s="48">
        <v>2</v>
      </c>
      <c r="B28" s="53" t="s">
        <v>24</v>
      </c>
      <c r="C28" s="48" t="s">
        <v>25</v>
      </c>
      <c r="D28" s="48" t="s">
        <v>79</v>
      </c>
      <c r="E28" s="48" t="s">
        <v>64</v>
      </c>
      <c r="F28" s="48" t="s">
        <v>65</v>
      </c>
      <c r="G28" s="48" t="s">
        <v>21</v>
      </c>
      <c r="H28" s="48" t="s">
        <v>0</v>
      </c>
      <c r="I28" s="48" t="s">
        <v>26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15" hidden="1">
      <c r="A29" s="48">
        <v>3</v>
      </c>
      <c r="B29" s="48"/>
      <c r="C29" s="48" t="s">
        <v>23</v>
      </c>
      <c r="D29" s="48" t="s">
        <v>72</v>
      </c>
      <c r="E29" s="48" t="s">
        <v>71</v>
      </c>
      <c r="F29" s="48" t="s">
        <v>0</v>
      </c>
      <c r="G29" s="48" t="s">
        <v>27</v>
      </c>
      <c r="H29" s="48" t="s">
        <v>0</v>
      </c>
      <c r="I29" s="48" t="s">
        <v>28</v>
      </c>
      <c r="J29" s="53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4.25" hidden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5" ht="14.25" hidden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5" ht="14.25" hidden="1">
      <c r="A32" s="48"/>
      <c r="B32" s="48"/>
      <c r="C32" s="48" t="s">
        <v>29</v>
      </c>
      <c r="D32" s="48"/>
      <c r="E32" s="48"/>
      <c r="F32" s="48"/>
      <c r="G32" s="48"/>
      <c r="H32" s="48" t="s">
        <v>30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7" ht="14.25" hidden="1">
      <c r="A33" s="48"/>
      <c r="B33" s="48"/>
      <c r="C33" s="96" t="str">
        <f>C27</f>
        <v>If (mA)</v>
      </c>
      <c r="D33" s="96" t="str">
        <f>D27</f>
        <v>Vf (V)</v>
      </c>
      <c r="E33" s="96" t="str">
        <f t="shared" ref="E33:F33" si="6">E27</f>
        <v>Vf_min (V)</v>
      </c>
      <c r="F33" s="96" t="str">
        <f t="shared" si="6"/>
        <v>Vf_max (V)</v>
      </c>
      <c r="G33" s="96" t="str">
        <f>G27</f>
        <v>Pd (W)</v>
      </c>
      <c r="H33" s="96" t="str">
        <f>H27</f>
        <v>lm/W</v>
      </c>
      <c r="I33" s="96" t="str">
        <f>Simulator!M9</f>
        <v>Tj (C)</v>
      </c>
      <c r="J33" s="95" t="str">
        <f>C28</f>
        <v>φv (lm)</v>
      </c>
      <c r="K33" s="95" t="str">
        <f>D28</f>
        <v>Vf (V)</v>
      </c>
      <c r="L33" s="95" t="str">
        <f t="shared" ref="L33:M33" si="7">E28</f>
        <v>Vf_min (V)</v>
      </c>
      <c r="M33" s="95" t="str">
        <f t="shared" si="7"/>
        <v>Vf_max (V)</v>
      </c>
      <c r="N33" s="95" t="str">
        <f>G28</f>
        <v>Pd (W)</v>
      </c>
      <c r="O33" s="95" t="str">
        <f>H28</f>
        <v>lm/W</v>
      </c>
      <c r="P33" s="95" t="str">
        <f>Simulator!M9</f>
        <v>Tj (C)</v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4.25" hidden="1">
      <c r="A34" s="48"/>
      <c r="B34" s="48"/>
      <c r="C34" s="96" t="str">
        <f>CONCATENATE($A27,C27)</f>
        <v>1If (mA)</v>
      </c>
      <c r="D34" s="96" t="str">
        <f>CONCATENATE($A27,D27)</f>
        <v>1Vf (V)</v>
      </c>
      <c r="E34" s="96" t="str">
        <f t="shared" ref="E34:F34" si="8">CONCATENATE($A27,E27)</f>
        <v>1Vf_min (V)</v>
      </c>
      <c r="F34" s="96" t="str">
        <f t="shared" si="8"/>
        <v>1Vf_max (V)</v>
      </c>
      <c r="G34" s="96" t="str">
        <f>CONCATENATE($A27,G27)</f>
        <v>1Pd (W)</v>
      </c>
      <c r="H34" s="96" t="str">
        <f>CONCATENATE($A27,H27)</f>
        <v>1lm/W</v>
      </c>
      <c r="I34" s="96" t="str">
        <f>CONCATENATE($A27,I33)</f>
        <v>1Tj (C)</v>
      </c>
      <c r="J34" s="95" t="str">
        <f>CONCATENATE($A28,C28)</f>
        <v>2φv (lm)</v>
      </c>
      <c r="K34" s="95" t="str">
        <f>CONCATENATE($A28,D28)</f>
        <v>2Vf (V)</v>
      </c>
      <c r="L34" s="95" t="str">
        <f t="shared" ref="L34:M34" si="9">CONCATENATE($A28,E28)</f>
        <v>2Vf_min (V)</v>
      </c>
      <c r="M34" s="95" t="str">
        <f t="shared" si="9"/>
        <v>2Vf_max (V)</v>
      </c>
      <c r="N34" s="95" t="str">
        <f>CONCATENATE($A28,G28)</f>
        <v>2Pd (W)</v>
      </c>
      <c r="O34" s="95" t="str">
        <f>CONCATENATE($A28,H28)</f>
        <v>2lm/W</v>
      </c>
      <c r="P34" s="95" t="str">
        <f>CONCATENATE($A28,P33)</f>
        <v>2Tj (C)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4.25" hidden="1">
      <c r="A35" s="48"/>
      <c r="B35" s="48" t="str">
        <f t="shared" ref="B35:B48" si="10">B2</f>
        <v>CLU028-1201C4</v>
      </c>
      <c r="C35" s="93" t="str">
        <f>IF(Calculation!U113,Calculation!N87,"Not Applicable")</f>
        <v>Not Applicable</v>
      </c>
      <c r="D35" s="94" t="str">
        <f>IF(Calculation!U113,Calculation!R87,"Not Applicable")</f>
        <v>Not Applicable</v>
      </c>
      <c r="E35" s="94" t="str">
        <f>IF(Calculation!U113,Calculation!P87,"Not Applicable")</f>
        <v>Not Applicable</v>
      </c>
      <c r="F35" s="94" t="str">
        <f>IF(Calculation!U113,Calculation!Q87,"Not Applicable")</f>
        <v>Not Applicable</v>
      </c>
      <c r="G35" s="94" t="str">
        <f>IF(Calculation!U113,Calculation!S87,"Not Applicable")</f>
        <v>Not Applicable</v>
      </c>
      <c r="H35" s="94" t="str">
        <f>IF(Calculation!U113,Calculation!U87,"Not Applicable")</f>
        <v>Not Applicable</v>
      </c>
      <c r="I35" s="94" t="str">
        <f>IF(Calculation!W113,Calculation!X87,"Not Applicable")</f>
        <v>Not Applicable</v>
      </c>
      <c r="J35" s="93" t="e">
        <f>IF(Calculation!U173,Calculation!N147,"Not Applicable")</f>
        <v>#N/A</v>
      </c>
      <c r="K35" s="94" t="e">
        <f>IF(Calculation!U173,Calculation!R147,"Not Applicable")</f>
        <v>#N/A</v>
      </c>
      <c r="L35" s="94" t="e">
        <f>IF(Calculation!U173,Calculation!P147,"Not Applicable")</f>
        <v>#N/A</v>
      </c>
      <c r="M35" s="94" t="e">
        <f>IF(Calculation!U173,Calculation!Q147,"Not Applicable")</f>
        <v>#N/A</v>
      </c>
      <c r="N35" s="94" t="e">
        <f>IF(Calculation!U173,Calculation!S147,"Not Applicable")</f>
        <v>#N/A</v>
      </c>
      <c r="O35" s="94" t="e">
        <f>IF(Calculation!U173,Calculation!U147,"Not Applicable")</f>
        <v>#N/A</v>
      </c>
      <c r="P35" s="94" t="e">
        <f>IF(Calculation!W173,Calculation!X147,"Not Applicable")</f>
        <v>#N/A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4.25" hidden="1">
      <c r="A36" s="48"/>
      <c r="B36" s="48" t="str">
        <f t="shared" si="10"/>
        <v>CLU028-1202C4</v>
      </c>
      <c r="C36" s="93" t="str">
        <f>IF(Calculation!U114,Calculation!N88,"Not Applicable")</f>
        <v>Not Applicable</v>
      </c>
      <c r="D36" s="94" t="str">
        <f>IF(Calculation!U114,Calculation!R88,"Not Applicable")</f>
        <v>Not Applicable</v>
      </c>
      <c r="E36" s="94" t="str">
        <f>IF(Calculation!U114,Calculation!P88,"Not Applicable")</f>
        <v>Not Applicable</v>
      </c>
      <c r="F36" s="94" t="str">
        <f>IF(Calculation!U114,Calculation!Q88,"Not Applicable")</f>
        <v>Not Applicable</v>
      </c>
      <c r="G36" s="94" t="str">
        <f>IF(Calculation!U114,Calculation!S88,"Not Applicable")</f>
        <v>Not Applicable</v>
      </c>
      <c r="H36" s="94" t="str">
        <f>IF(Calculation!U114,Calculation!U88,"Not Applicable")</f>
        <v>Not Applicable</v>
      </c>
      <c r="I36" s="94" t="str">
        <f>IF(Calculation!W114,Calculation!X88,"Not Applicable")</f>
        <v>Not Applicable</v>
      </c>
      <c r="J36" s="93" t="e">
        <f>IF(Calculation!U174,Calculation!N148,"Not Applicable")</f>
        <v>#N/A</v>
      </c>
      <c r="K36" s="94" t="e">
        <f>IF(Calculation!U174,Calculation!R148,"Not Applicable")</f>
        <v>#N/A</v>
      </c>
      <c r="L36" s="94" t="e">
        <f>IF(Calculation!U174,Calculation!P148,"Not Applicable")</f>
        <v>#N/A</v>
      </c>
      <c r="M36" s="94" t="e">
        <f>IF(Calculation!U174,Calculation!Q148,"Not Applicable")</f>
        <v>#N/A</v>
      </c>
      <c r="N36" s="94" t="e">
        <f>IF(Calculation!U174,Calculation!S148,"Not Applicable")</f>
        <v>#N/A</v>
      </c>
      <c r="O36" s="94" t="e">
        <f>IF(Calculation!U174,Calculation!U148,"Not Applicable")</f>
        <v>#N/A</v>
      </c>
      <c r="P36" s="94" t="e">
        <f>IF(Calculation!W174,Calculation!X148,"Not Applicable")</f>
        <v>#N/A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4.25" hidden="1">
      <c r="A37" s="48"/>
      <c r="B37" s="48" t="str">
        <f t="shared" si="10"/>
        <v>CLU028-1203C4</v>
      </c>
      <c r="C37" s="93" t="str">
        <f>IF(Calculation!U115,Calculation!N89,"Not Applicable")</f>
        <v>Not Applicable</v>
      </c>
      <c r="D37" s="94" t="str">
        <f>IF(Calculation!U115,Calculation!R89,"Not Applicable")</f>
        <v>Not Applicable</v>
      </c>
      <c r="E37" s="94" t="str">
        <f>IF(Calculation!U115,Calculation!P89,"Not Applicable")</f>
        <v>Not Applicable</v>
      </c>
      <c r="F37" s="94" t="str">
        <f>IF(Calculation!U115,Calculation!Q89,"Not Applicable")</f>
        <v>Not Applicable</v>
      </c>
      <c r="G37" s="94" t="str">
        <f>IF(Calculation!U115,Calculation!S89,"Not Applicable")</f>
        <v>Not Applicable</v>
      </c>
      <c r="H37" s="94" t="str">
        <f>IF(Calculation!U115,Calculation!U89,"Not Applicable")</f>
        <v>Not Applicable</v>
      </c>
      <c r="I37" s="94" t="str">
        <f>IF(Calculation!W115,Calculation!X89,"Not Applicable")</f>
        <v>Not Applicable</v>
      </c>
      <c r="J37" s="93" t="e">
        <f>IF(Calculation!U175,Calculation!N149,"Not Applicable")</f>
        <v>#N/A</v>
      </c>
      <c r="K37" s="94" t="e">
        <f>IF(Calculation!U175,Calculation!R149,"Not Applicable")</f>
        <v>#N/A</v>
      </c>
      <c r="L37" s="94" t="e">
        <f>IF(Calculation!U175,Calculation!P149,"Not Applicable")</f>
        <v>#N/A</v>
      </c>
      <c r="M37" s="94" t="e">
        <f>IF(Calculation!U175,Calculation!Q149,"Not Applicable")</f>
        <v>#N/A</v>
      </c>
      <c r="N37" s="94" t="e">
        <f>IF(Calculation!U175,Calculation!S149,"Not Applicable")</f>
        <v>#N/A</v>
      </c>
      <c r="O37" s="94" t="e">
        <f>IF(Calculation!U175,Calculation!U149,"Not Applicable")</f>
        <v>#N/A</v>
      </c>
      <c r="P37" s="94" t="e">
        <f>IF(Calculation!W175,Calculation!X149,"Not Applicable")</f>
        <v>#N/A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4.25" hidden="1">
      <c r="A38" s="48"/>
      <c r="B38" s="48" t="str">
        <f t="shared" si="10"/>
        <v>CLU028-1204C4</v>
      </c>
      <c r="C38" s="93">
        <f>IF(Calculation!U116,Calculation!N90,"Not Applicable")</f>
        <v>23.111811642596813</v>
      </c>
      <c r="D38" s="94">
        <f>IF(Calculation!U116,Calculation!R90,"Not Applicable")</f>
        <v>32.26271531012712</v>
      </c>
      <c r="E38" s="94">
        <f>IF(Calculation!U116,Calculation!P90,"Not Applicable")</f>
        <v>29.68169808592954</v>
      </c>
      <c r="F38" s="94">
        <f>IF(Calculation!U116,Calculation!Q90,"Not Applicable")</f>
        <v>34.843732535656414</v>
      </c>
      <c r="G38" s="94">
        <f>IF(Calculation!U116,Calculation!S90,"Not Applicable")</f>
        <v>0.74564979932638242</v>
      </c>
      <c r="H38" s="94">
        <f>IF(Calculation!U116,Calculation!U90,"Not Applicable")</f>
        <v>120.70009283353352</v>
      </c>
      <c r="I38" s="94">
        <f>IF(Calculation!W116,Calculation!X90,"Not Applicable")</f>
        <v>25.678541317387008</v>
      </c>
      <c r="J38" s="93">
        <f>IF(Calculation!U176,Calculation!N150,"Not Applicable")</f>
        <v>348.16650920055224</v>
      </c>
      <c r="K38" s="94">
        <f>IF(Calculation!U176,Calculation!R150,"Not Applicable")</f>
        <v>33.037959959042595</v>
      </c>
      <c r="L38" s="94">
        <f>IF(Calculation!U176,Calculation!P150,"Not Applicable")</f>
        <v>30.394923162319188</v>
      </c>
      <c r="M38" s="94">
        <f>IF(Calculation!U176,Calculation!Q150,"Not Applicable")</f>
        <v>35.680996755766003</v>
      </c>
      <c r="N38" s="94">
        <f>IF(Calculation!U176,Calculation!S150,"Not Applicable")</f>
        <v>2.9734163963138336</v>
      </c>
      <c r="O38" s="94">
        <f>IF(Calculation!U176,Calculation!U150,"Not Applicable")</f>
        <v>117.09308848642149</v>
      </c>
      <c r="P38" s="94">
        <f>IF(Calculation!W176,Calculation!X150,"Not Applicable")</f>
        <v>27.705808920645588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4.25" hidden="1">
      <c r="A39" s="48"/>
      <c r="B39" s="48" t="str">
        <f t="shared" si="10"/>
        <v>CLU038-1205C4</v>
      </c>
      <c r="C39" s="93" t="str">
        <f>IF(Calculation!U117,Calculation!N91,"Not Applicable")</f>
        <v>Not Applicable</v>
      </c>
      <c r="D39" s="94" t="str">
        <f>IF(Calculation!U117,Calculation!R91,"Not Applicable")</f>
        <v>Not Applicable</v>
      </c>
      <c r="E39" s="94" t="str">
        <f>IF(Calculation!U117,Calculation!P91,"Not Applicable")</f>
        <v>Not Applicable</v>
      </c>
      <c r="F39" s="94" t="str">
        <f>IF(Calculation!U117,Calculation!Q91,"Not Applicable")</f>
        <v>Not Applicable</v>
      </c>
      <c r="G39" s="94" t="str">
        <f>IF(Calculation!U117,Calculation!S91,"Not Applicable")</f>
        <v>Not Applicable</v>
      </c>
      <c r="H39" s="94" t="str">
        <f>IF(Calculation!U117,Calculation!U91,"Not Applicable")</f>
        <v>Not Applicable</v>
      </c>
      <c r="I39" s="94" t="str">
        <f>IF(Calculation!W117,Calculation!X91,"Not Applicable")</f>
        <v>Not Applicable</v>
      </c>
      <c r="J39" s="93" t="e">
        <f>IF(Calculation!U177,Calculation!N151,"Not Applicable")</f>
        <v>#N/A</v>
      </c>
      <c r="K39" s="94" t="e">
        <f>IF(Calculation!U177,Calculation!R151,"Not Applicable")</f>
        <v>#N/A</v>
      </c>
      <c r="L39" s="94" t="e">
        <f>IF(Calculation!U177,Calculation!P151,"Not Applicable")</f>
        <v>#N/A</v>
      </c>
      <c r="M39" s="94" t="e">
        <f>IF(Calculation!U177,Calculation!Q151,"Not Applicable")</f>
        <v>#N/A</v>
      </c>
      <c r="N39" s="94" t="e">
        <f>IF(Calculation!U177,Calculation!S151,"Not Applicable")</f>
        <v>#N/A</v>
      </c>
      <c r="O39" s="94" t="e">
        <f>IF(Calculation!U177,Calculation!U151,"Not Applicable")</f>
        <v>#N/A</v>
      </c>
      <c r="P39" s="94" t="e">
        <f>IF(Calculation!W177,Calculation!X151,"Not Applicable")</f>
        <v>#N/A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4.25" hidden="1">
      <c r="A40" s="48"/>
      <c r="B40" s="48" t="str">
        <f t="shared" si="10"/>
        <v>CLU038-1206C4</v>
      </c>
      <c r="C40" s="93" t="str">
        <f>IF(Calculation!U118,Calculation!N92,"Not Applicable")</f>
        <v>Not Applicable</v>
      </c>
      <c r="D40" s="94" t="str">
        <f>IF(Calculation!U118,Calculation!R92,"Not Applicable")</f>
        <v>Not Applicable</v>
      </c>
      <c r="E40" s="94" t="str">
        <f>IF(Calculation!U118,Calculation!P92,"Not Applicable")</f>
        <v>Not Applicable</v>
      </c>
      <c r="F40" s="94" t="str">
        <f>IF(Calculation!U118,Calculation!Q92,"Not Applicable")</f>
        <v>Not Applicable</v>
      </c>
      <c r="G40" s="94" t="str">
        <f>IF(Calculation!U118,Calculation!S92,"Not Applicable")</f>
        <v>Not Applicable</v>
      </c>
      <c r="H40" s="94" t="str">
        <f>IF(Calculation!U118,Calculation!U92,"Not Applicable")</f>
        <v>Not Applicable</v>
      </c>
      <c r="I40" s="94" t="str">
        <f>IF(Calculation!W118,Calculation!X92,"Not Applicable")</f>
        <v>Not Applicable</v>
      </c>
      <c r="J40" s="93">
        <f>IF(Calculation!U178,Calculation!N152,"Not Applicable")</f>
        <v>363.54328204855881</v>
      </c>
      <c r="K40" s="94">
        <f>IF(Calculation!U178,Calculation!R152,"Not Applicable")</f>
        <v>32.682971778661567</v>
      </c>
      <c r="L40" s="94">
        <f>IF(Calculation!U178,Calculation!P152,"Not Applicable")</f>
        <v>30.068334036368643</v>
      </c>
      <c r="M40" s="94">
        <f>IF(Calculation!U178,Calculation!Q152,"Not Applicable")</f>
        <v>35.297609520954495</v>
      </c>
      <c r="N40" s="94">
        <f>IF(Calculation!U178,Calculation!S152,"Not Applicable")</f>
        <v>2.941467460079541</v>
      </c>
      <c r="O40" s="94">
        <f>IF(Calculation!U178,Calculation!U152,"Not Applicable")</f>
        <v>123.59248809732817</v>
      </c>
      <c r="P40" s="94">
        <f>IF(Calculation!W178,Calculation!X152,"Not Applicable")</f>
        <v>26.882539174450905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4.25" hidden="1">
      <c r="A41" s="48"/>
      <c r="B41" s="48" t="str">
        <f t="shared" si="10"/>
        <v>CLU038-1208C4</v>
      </c>
      <c r="C41" s="93" t="str">
        <f>IF(Calculation!U119,Calculation!N93,"Not Applicable")</f>
        <v>Not Applicable</v>
      </c>
      <c r="D41" s="94" t="str">
        <f>IF(Calculation!U119,Calculation!R93,"Not Applicable")</f>
        <v>Not Applicable</v>
      </c>
      <c r="E41" s="94" t="str">
        <f>IF(Calculation!U119,Calculation!P93,"Not Applicable")</f>
        <v>Not Applicable</v>
      </c>
      <c r="F41" s="94" t="str">
        <f>IF(Calculation!U119,Calculation!Q93,"Not Applicable")</f>
        <v>Not Applicable</v>
      </c>
      <c r="G41" s="94" t="str">
        <f>IF(Calculation!U119,Calculation!S93,"Not Applicable")</f>
        <v>Not Applicable</v>
      </c>
      <c r="H41" s="94" t="str">
        <f>IF(Calculation!U119,Calculation!U93,"Not Applicable")</f>
        <v>Not Applicable</v>
      </c>
      <c r="I41" s="94" t="str">
        <f>IF(Calculation!W119,Calculation!X93,"Not Applicable")</f>
        <v>Not Applicable</v>
      </c>
      <c r="J41" s="93">
        <f>IF(Calculation!U179,Calculation!N153,"Not Applicable")</f>
        <v>358.17335191826925</v>
      </c>
      <c r="K41" s="94">
        <f>IF(Calculation!U179,Calculation!R153,"Not Applicable")</f>
        <v>32.494933406061541</v>
      </c>
      <c r="L41" s="94">
        <f>IF(Calculation!U179,Calculation!P153,"Not Applicable")</f>
        <v>29.895338733576619</v>
      </c>
      <c r="M41" s="94">
        <f>IF(Calculation!U179,Calculation!Q153,"Not Applicable")</f>
        <v>35.094528078546467</v>
      </c>
      <c r="N41" s="94">
        <f>IF(Calculation!U179,Calculation!S153,"Not Applicable")</f>
        <v>2.9245440065455388</v>
      </c>
      <c r="O41" s="94">
        <f>IF(Calculation!U179,Calculation!U153,"Not Applicable")</f>
        <v>122.47152072823222</v>
      </c>
      <c r="P41" s="94">
        <f>IF(Calculation!W179,Calculation!X153,"Not Applicable")</f>
        <v>26.491517443338225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4.25" hidden="1">
      <c r="A42" s="48"/>
      <c r="B42" s="48" t="str">
        <f t="shared" si="10"/>
        <v>CLU038-1210C4</v>
      </c>
      <c r="C42" s="93" t="str">
        <f>IF(Calculation!U120,Calculation!N94,"Not Applicable")</f>
        <v>Not Applicable</v>
      </c>
      <c r="D42" s="94" t="str">
        <f>IF(Calculation!U120,Calculation!R94,"Not Applicable")</f>
        <v>Not Applicable</v>
      </c>
      <c r="E42" s="94" t="str">
        <f>IF(Calculation!U120,Calculation!P94,"Not Applicable")</f>
        <v>Not Applicable</v>
      </c>
      <c r="F42" s="94" t="str">
        <f>IF(Calculation!U120,Calculation!Q94,"Not Applicable")</f>
        <v>Not Applicable</v>
      </c>
      <c r="G42" s="94" t="str">
        <f>IF(Calculation!U120,Calculation!S94,"Not Applicable")</f>
        <v>Not Applicable</v>
      </c>
      <c r="H42" s="94" t="str">
        <f>IF(Calculation!U120,Calculation!U94,"Not Applicable")</f>
        <v>Not Applicable</v>
      </c>
      <c r="I42" s="94" t="str">
        <f>IF(Calculation!W120,Calculation!X94,"Not Applicable")</f>
        <v>Not Applicable</v>
      </c>
      <c r="J42" s="93" t="e">
        <f>IF(Calculation!U180,Calculation!N154,"Not Applicable")</f>
        <v>#N/A</v>
      </c>
      <c r="K42" s="94" t="e">
        <f>IF(Calculation!U180,Calculation!R154,"Not Applicable")</f>
        <v>#N/A</v>
      </c>
      <c r="L42" s="94" t="e">
        <f>IF(Calculation!U180,Calculation!P154,"Not Applicable")</f>
        <v>#N/A</v>
      </c>
      <c r="M42" s="94" t="e">
        <f>IF(Calculation!U180,Calculation!Q154,"Not Applicable")</f>
        <v>#N/A</v>
      </c>
      <c r="N42" s="94" t="e">
        <f>IF(Calculation!U180,Calculation!S154,"Not Applicable")</f>
        <v>#N/A</v>
      </c>
      <c r="O42" s="94" t="e">
        <f>IF(Calculation!U180,Calculation!U154,"Not Applicable")</f>
        <v>#N/A</v>
      </c>
      <c r="P42" s="94" t="e">
        <f>IF(Calculation!W180,Calculation!X154,"Not Applicable")</f>
        <v>#N/A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4.25" hidden="1">
      <c r="A43" s="48"/>
      <c r="B43" s="48" t="str">
        <f t="shared" si="10"/>
        <v>CLU048-1211C4</v>
      </c>
      <c r="C43" s="93" t="str">
        <f>IF(Calculation!U121,Calculation!N95,"Not Applicable")</f>
        <v>Not Applicable</v>
      </c>
      <c r="D43" s="94" t="str">
        <f>IF(Calculation!U121,Calculation!R95,"Not Applicable")</f>
        <v>Not Applicable</v>
      </c>
      <c r="E43" s="94" t="str">
        <f>IF(Calculation!U121,Calculation!P95,"Not Applicable")</f>
        <v>Not Applicable</v>
      </c>
      <c r="F43" s="94" t="str">
        <f>IF(Calculation!U121,Calculation!Q95,"Not Applicable")</f>
        <v>Not Applicable</v>
      </c>
      <c r="G43" s="94" t="str">
        <f>IF(Calculation!U121,Calculation!S95,"Not Applicable")</f>
        <v>Not Applicable</v>
      </c>
      <c r="H43" s="94" t="str">
        <f>IF(Calculation!U121,Calculation!U95,"Not Applicable")</f>
        <v>Not Applicable</v>
      </c>
      <c r="I43" s="94" t="str">
        <f>IF(Calculation!W121,Calculation!X95,"Not Applicable")</f>
        <v>Not Applicable</v>
      </c>
      <c r="J43" s="93" t="e">
        <f>IF(Calculation!U181,Calculation!N155,"Not Applicable")</f>
        <v>#N/A</v>
      </c>
      <c r="K43" s="94" t="e">
        <f>IF(Calculation!U181,Calculation!R155,"Not Applicable")</f>
        <v>#N/A</v>
      </c>
      <c r="L43" s="94" t="e">
        <f>IF(Calculation!U181,Calculation!P155,"Not Applicable")</f>
        <v>#N/A</v>
      </c>
      <c r="M43" s="94" t="e">
        <f>IF(Calculation!U181,Calculation!Q155,"Not Applicable")</f>
        <v>#N/A</v>
      </c>
      <c r="N43" s="94" t="e">
        <f>IF(Calculation!U181,Calculation!S155,"Not Applicable")</f>
        <v>#N/A</v>
      </c>
      <c r="O43" s="94" t="e">
        <f>IF(Calculation!U181,Calculation!U155,"Not Applicable")</f>
        <v>#N/A</v>
      </c>
      <c r="P43" s="94" t="e">
        <f>IF(Calculation!W181,Calculation!X155,"Not Applicable")</f>
        <v>#N/A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4.25" hidden="1">
      <c r="A44" s="48"/>
      <c r="B44" s="48" t="str">
        <f t="shared" si="10"/>
        <v>CLU048-1212C4</v>
      </c>
      <c r="C44" s="93" t="str">
        <f>IF(Calculation!U122,Calculation!N96,"Not Applicable")</f>
        <v>Not Applicable</v>
      </c>
      <c r="D44" s="94" t="str">
        <f>IF(Calculation!U122,Calculation!R96,"Not Applicable")</f>
        <v>Not Applicable</v>
      </c>
      <c r="E44" s="94" t="str">
        <f>IF(Calculation!U122,Calculation!P96,"Not Applicable")</f>
        <v>Not Applicable</v>
      </c>
      <c r="F44" s="94" t="str">
        <f>IF(Calculation!U122,Calculation!Q96,"Not Applicable")</f>
        <v>Not Applicable</v>
      </c>
      <c r="G44" s="94" t="str">
        <f>IF(Calculation!U122,Calculation!S96,"Not Applicable")</f>
        <v>Not Applicable</v>
      </c>
      <c r="H44" s="94" t="str">
        <f>IF(Calculation!U122,Calculation!U96,"Not Applicable")</f>
        <v>Not Applicable</v>
      </c>
      <c r="I44" s="94" t="str">
        <f>IF(Calculation!W122,Calculation!X96,"Not Applicable")</f>
        <v>Not Applicable</v>
      </c>
      <c r="J44" s="93">
        <f>IF(Calculation!U182,Calculation!N156,"Not Applicable")</f>
        <v>373.77580566217551</v>
      </c>
      <c r="K44" s="94">
        <f>IF(Calculation!U182,Calculation!R156,"Not Applicable")</f>
        <v>32.319049785281464</v>
      </c>
      <c r="L44" s="94">
        <f>IF(Calculation!U182,Calculation!P156,"Not Applicable")</f>
        <v>29.733525802458949</v>
      </c>
      <c r="M44" s="94">
        <f>IF(Calculation!U182,Calculation!Q156,"Not Applicable")</f>
        <v>34.904573768103987</v>
      </c>
      <c r="N44" s="94">
        <f>IF(Calculation!U182,Calculation!S156,"Not Applicable")</f>
        <v>2.9087144806753318</v>
      </c>
      <c r="O44" s="94">
        <f>IF(Calculation!U182,Calculation!U156,"Not Applicable")</f>
        <v>128.50206101198148</v>
      </c>
      <c r="P44" s="94">
        <f>IF(Calculation!W182,Calculation!X156,"Not Applicable")</f>
        <v>25.988962923429614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4.25" hidden="1">
      <c r="A45" s="48"/>
      <c r="B45" s="48" t="str">
        <f t="shared" si="10"/>
        <v>CLU048-1812C4</v>
      </c>
      <c r="C45" s="93" t="str">
        <f>IF(Calculation!U123,Calculation!N97,"Not Applicable")</f>
        <v>Not Applicable</v>
      </c>
      <c r="D45" s="94" t="str">
        <f>IF(Calculation!U123,Calculation!R97,"Not Applicable")</f>
        <v>Not Applicable</v>
      </c>
      <c r="E45" s="94" t="str">
        <f>IF(Calculation!U123,Calculation!P97,"Not Applicable")</f>
        <v>Not Applicable</v>
      </c>
      <c r="F45" s="94" t="str">
        <f>IF(Calculation!U123,Calculation!Q97,"Not Applicable")</f>
        <v>Not Applicable</v>
      </c>
      <c r="G45" s="94" t="str">
        <f>IF(Calculation!U123,Calculation!S97,"Not Applicable")</f>
        <v>Not Applicable</v>
      </c>
      <c r="H45" s="94" t="str">
        <f>IF(Calculation!U123,Calculation!U97,"Not Applicable")</f>
        <v>Not Applicable</v>
      </c>
      <c r="I45" s="94" t="str">
        <f>IF(Calculation!W123,Calculation!X97,"Not Applicable")</f>
        <v>Not Applicable</v>
      </c>
      <c r="J45" s="93">
        <f>IF(Calculation!U183,Calculation!N157,"Not Applicable")</f>
        <v>545.66874083882624</v>
      </c>
      <c r="K45" s="94">
        <f>IF(Calculation!U183,Calculation!R157,"Not Applicable")</f>
        <v>48.442255814026538</v>
      </c>
      <c r="L45" s="94">
        <f>IF(Calculation!U183,Calculation!P157,"Not Applicable")</f>
        <v>44.566875348904418</v>
      </c>
      <c r="M45" s="94">
        <f>IF(Calculation!U183,Calculation!Q157,"Not Applicable")</f>
        <v>52.317636279148665</v>
      </c>
      <c r="N45" s="94">
        <f>IF(Calculation!U183,Calculation!S157,"Not Applicable")</f>
        <v>4.3598030232623888</v>
      </c>
      <c r="O45" s="94">
        <f>IF(Calculation!U183,Calculation!U157,"Not Applicable")</f>
        <v>125.15903538011422</v>
      </c>
      <c r="P45" s="94">
        <f>IF(Calculation!W183,Calculation!X157,"Not Applicable")</f>
        <v>26.089950755815597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4.25" hidden="1">
      <c r="A46" s="48"/>
      <c r="B46" s="48" t="str">
        <f t="shared" si="10"/>
        <v>CLU048-1818C4</v>
      </c>
      <c r="C46" s="93" t="str">
        <f>IF(Calculation!U124,Calculation!N98,"Not Applicable")</f>
        <v>Not Applicable</v>
      </c>
      <c r="D46" s="94" t="str">
        <f>IF(Calculation!U124,Calculation!R98,"Not Applicable")</f>
        <v>Not Applicable</v>
      </c>
      <c r="E46" s="94" t="str">
        <f>IF(Calculation!U124,Calculation!P98,"Not Applicable")</f>
        <v>Not Applicable</v>
      </c>
      <c r="F46" s="94" t="str">
        <f>IF(Calculation!U124,Calculation!Q98,"Not Applicable")</f>
        <v>Not Applicable</v>
      </c>
      <c r="G46" s="94" t="str">
        <f>IF(Calculation!U124,Calculation!S98,"Not Applicable")</f>
        <v>Not Applicable</v>
      </c>
      <c r="H46" s="94" t="str">
        <f>IF(Calculation!U124,Calculation!U98,"Not Applicable")</f>
        <v>Not Applicable</v>
      </c>
      <c r="I46" s="94" t="str">
        <f>IF(Calculation!W124,Calculation!X98,"Not Applicable")</f>
        <v>Not Applicable</v>
      </c>
      <c r="J46" s="93" t="e">
        <f>IF(Calculation!U184,Calculation!N158,"Not Applicable")</f>
        <v>#N/A</v>
      </c>
      <c r="K46" s="94" t="e">
        <f>IF(Calculation!U184,Calculation!R158,"Not Applicable")</f>
        <v>#N/A</v>
      </c>
      <c r="L46" s="94" t="e">
        <f>IF(Calculation!U184,Calculation!P158,"Not Applicable")</f>
        <v>#N/A</v>
      </c>
      <c r="M46" s="94" t="e">
        <f>IF(Calculation!U184,Calculation!Q158,"Not Applicable")</f>
        <v>#N/A</v>
      </c>
      <c r="N46" s="94" t="e">
        <f>IF(Calculation!U184,Calculation!S158,"Not Applicable")</f>
        <v>#N/A</v>
      </c>
      <c r="O46" s="94" t="e">
        <f>IF(Calculation!U184,Calculation!U158,"Not Applicable")</f>
        <v>#N/A</v>
      </c>
      <c r="P46" s="94" t="e">
        <f>IF(Calculation!W184,Calculation!X158,"Not Applicable")</f>
        <v>#N/A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4.25" hidden="1">
      <c r="A47" s="48"/>
      <c r="B47" s="48" t="str">
        <f t="shared" si="10"/>
        <v>CLU058-1825C4</v>
      </c>
      <c r="C47" s="93" t="str">
        <f>IF(Calculation!U125,Calculation!N99,"Not Applicable")</f>
        <v>Not Applicable</v>
      </c>
      <c r="D47" s="94" t="str">
        <f>IF(Calculation!U125,Calculation!R99,"Not Applicable")</f>
        <v>Not Applicable</v>
      </c>
      <c r="E47" s="94" t="str">
        <f>IF(Calculation!U125,Calculation!P99,"Not Applicable")</f>
        <v>Not Applicable</v>
      </c>
      <c r="F47" s="94" t="str">
        <f>IF(Calculation!U125,Calculation!Q99,"Not Applicable")</f>
        <v>Not Applicable</v>
      </c>
      <c r="G47" s="94" t="str">
        <f>IF(Calculation!U125,Calculation!S99,"Not Applicable")</f>
        <v>Not Applicable</v>
      </c>
      <c r="H47" s="94" t="str">
        <f>IF(Calculation!U125,Calculation!U99,"Not Applicable")</f>
        <v>Not Applicable</v>
      </c>
      <c r="I47" s="94" t="str">
        <f>IF(Calculation!W125,Calculation!X99,"Not Applicable")</f>
        <v>Not Applicable</v>
      </c>
      <c r="J47" s="93" t="e">
        <f>IF(Calculation!U185,Calculation!N159,"Not Applicable")</f>
        <v>#N/A</v>
      </c>
      <c r="K47" s="94" t="e">
        <f>IF(Calculation!U185,Calculation!R159,"Not Applicable")</f>
        <v>#N/A</v>
      </c>
      <c r="L47" s="94" t="e">
        <f>IF(Calculation!U185,Calculation!P159,"Not Applicable")</f>
        <v>#N/A</v>
      </c>
      <c r="M47" s="94" t="e">
        <f>IF(Calculation!U185,Calculation!Q159,"Not Applicable")</f>
        <v>#N/A</v>
      </c>
      <c r="N47" s="94" t="e">
        <f>IF(Calculation!U185,Calculation!S159,"Not Applicable")</f>
        <v>#N/A</v>
      </c>
      <c r="O47" s="94" t="e">
        <f>IF(Calculation!U185,Calculation!U159,"Not Applicable")</f>
        <v>#N/A</v>
      </c>
      <c r="P47" s="94" t="e">
        <f>IF(Calculation!W185,Calculation!X159,"Not Applicable")</f>
        <v>#N/A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ht="14.25" hidden="1">
      <c r="A48" s="48"/>
      <c r="B48" s="48" t="str">
        <f t="shared" si="10"/>
        <v>CLU058-3618C4</v>
      </c>
      <c r="C48" s="93" t="str">
        <f>IF(Calculation!U126,Calculation!N100,"Not Applicable")</f>
        <v>Not Applicable</v>
      </c>
      <c r="D48" s="94" t="str">
        <f>IF(Calculation!U126,Calculation!R100,"Not Applicable")</f>
        <v>Not Applicable</v>
      </c>
      <c r="E48" s="94" t="str">
        <f>IF(Calculation!U126,Calculation!P100,"Not Applicable")</f>
        <v>Not Applicable</v>
      </c>
      <c r="F48" s="94" t="str">
        <f>IF(Calculation!U126,Calculation!Q100,"Not Applicable")</f>
        <v>Not Applicable</v>
      </c>
      <c r="G48" s="94" t="str">
        <f>IF(Calculation!U126,Calculation!S100,"Not Applicable")</f>
        <v>Not Applicable</v>
      </c>
      <c r="H48" s="94" t="str">
        <f>IF(Calculation!U126,Calculation!U100,"Not Applicable")</f>
        <v>Not Applicable</v>
      </c>
      <c r="I48" s="94" t="str">
        <f>IF(Calculation!W126,Calculation!X100,"Not Applicable")</f>
        <v>Not Applicable</v>
      </c>
      <c r="J48" s="93" t="e">
        <f>IF(Calculation!U186,Calculation!N160,"Not Applicable")</f>
        <v>#N/A</v>
      </c>
      <c r="K48" s="94" t="e">
        <f>IF(Calculation!U186,Calculation!R160,"Not Applicable")</f>
        <v>#N/A</v>
      </c>
      <c r="L48" s="94" t="e">
        <f>IF(Calculation!U186,Calculation!P160,"Not Applicable")</f>
        <v>#N/A</v>
      </c>
      <c r="M48" s="94" t="e">
        <f>IF(Calculation!U186,Calculation!Q160,"Not Applicable")</f>
        <v>#N/A</v>
      </c>
      <c r="N48" s="94" t="e">
        <f>IF(Calculation!U186,Calculation!S160,"Not Applicable")</f>
        <v>#N/A</v>
      </c>
      <c r="O48" s="94" t="e">
        <f>IF(Calculation!U186,Calculation!U160,"Not Applicable")</f>
        <v>#N/A</v>
      </c>
      <c r="P48" s="94" t="e">
        <f>IF(Calculation!W186,Calculation!X160,"Not Applicable")</f>
        <v>#N/A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32" ht="14.25" hidden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U49" s="48"/>
      <c r="V49" s="48"/>
      <c r="W49" s="48"/>
    </row>
    <row r="50" spans="1:32" ht="15" hidden="1">
      <c r="A50" s="48"/>
      <c r="B50" s="53" t="s">
        <v>31</v>
      </c>
      <c r="C50" s="53"/>
      <c r="D50" s="53"/>
      <c r="E50" s="48"/>
      <c r="F50" s="48"/>
      <c r="G50" s="48"/>
      <c r="H50" s="48"/>
      <c r="I50" s="48"/>
      <c r="J50" s="48"/>
      <c r="L50" s="48" t="s">
        <v>82</v>
      </c>
      <c r="M50" s="48"/>
      <c r="N50" s="48"/>
      <c r="O50" s="48"/>
      <c r="P50" s="48"/>
      <c r="Q50" s="48"/>
      <c r="R50" s="48"/>
      <c r="U50" s="48"/>
      <c r="V50" s="48"/>
      <c r="W50" s="48"/>
    </row>
    <row r="51" spans="1:32" ht="15" hidden="1">
      <c r="A51" s="48"/>
      <c r="B51" s="53" t="s">
        <v>32</v>
      </c>
      <c r="C51" s="53" t="s">
        <v>33</v>
      </c>
      <c r="D51" s="53" t="s">
        <v>34</v>
      </c>
      <c r="E51" s="53"/>
      <c r="F51" s="48"/>
      <c r="G51" s="48"/>
      <c r="H51" s="48"/>
      <c r="I51" s="48"/>
      <c r="L51" s="131">
        <v>1</v>
      </c>
      <c r="M51" s="131">
        <v>2</v>
      </c>
      <c r="N51" s="131">
        <v>3</v>
      </c>
      <c r="O51" s="131">
        <v>4</v>
      </c>
      <c r="P51" s="131">
        <v>5</v>
      </c>
      <c r="Q51" s="98">
        <v>6</v>
      </c>
      <c r="R51" s="98">
        <v>7</v>
      </c>
      <c r="S51" s="98">
        <v>8</v>
      </c>
      <c r="T51" s="98">
        <v>9</v>
      </c>
      <c r="U51" s="98">
        <v>10</v>
      </c>
      <c r="V51" s="99">
        <v>11</v>
      </c>
      <c r="W51" s="99">
        <v>12</v>
      </c>
      <c r="X51" s="99">
        <v>13</v>
      </c>
      <c r="Y51" s="99">
        <v>14</v>
      </c>
      <c r="Z51" s="126">
        <v>13</v>
      </c>
      <c r="AA51" s="127">
        <v>14</v>
      </c>
      <c r="AB51" s="127">
        <v>15</v>
      </c>
      <c r="AC51" s="127">
        <v>16</v>
      </c>
      <c r="AD51" s="128">
        <v>17</v>
      </c>
      <c r="AE51" s="128">
        <v>18</v>
      </c>
      <c r="AF51" s="128">
        <v>19</v>
      </c>
    </row>
    <row r="52" spans="1:32" ht="15" hidden="1">
      <c r="A52" s="48"/>
      <c r="B52" s="53"/>
      <c r="C52" s="53">
        <v>5</v>
      </c>
      <c r="D52" s="53">
        <v>180</v>
      </c>
      <c r="E52" s="53"/>
      <c r="F52" s="48"/>
      <c r="G52" s="48"/>
      <c r="H52" s="48"/>
      <c r="I52" s="48"/>
      <c r="J52" s="120" t="s">
        <v>98</v>
      </c>
      <c r="K52" s="120"/>
      <c r="L52" s="131" t="str">
        <f t="shared" ref="L52:O52" si="11">L69</f>
        <v>5000K,Natural</v>
      </c>
      <c r="M52" s="131" t="str">
        <f t="shared" si="11"/>
        <v>4000K,Natural</v>
      </c>
      <c r="N52" s="131" t="str">
        <f t="shared" si="11"/>
        <v>3500K,Natural</v>
      </c>
      <c r="O52" s="131" t="str">
        <f t="shared" si="11"/>
        <v>3000K,Natural</v>
      </c>
      <c r="P52" s="131" t="str">
        <f t="shared" ref="P52:AF52" si="12">P69</f>
        <v>2700K,Natural</v>
      </c>
      <c r="Q52" s="98" t="str">
        <f t="shared" si="12"/>
        <v>5000K,Brilliant</v>
      </c>
      <c r="R52" s="98" t="str">
        <f t="shared" si="12"/>
        <v>4000K,Brilliant</v>
      </c>
      <c r="S52" s="98" t="str">
        <f t="shared" si="12"/>
        <v>3500K,Brilliant</v>
      </c>
      <c r="T52" s="98" t="str">
        <f t="shared" si="12"/>
        <v>3000K,Brilliant</v>
      </c>
      <c r="U52" s="98" t="str">
        <f t="shared" si="12"/>
        <v>2700K,Brilliant</v>
      </c>
      <c r="V52" s="99">
        <f t="shared" si="12"/>
        <v>0</v>
      </c>
      <c r="W52" s="99">
        <f t="shared" si="12"/>
        <v>0</v>
      </c>
      <c r="X52" s="99">
        <f t="shared" si="12"/>
        <v>0</v>
      </c>
      <c r="Y52" s="99">
        <f t="shared" si="12"/>
        <v>0</v>
      </c>
      <c r="Z52" s="99">
        <f t="shared" si="12"/>
        <v>0</v>
      </c>
      <c r="AA52" s="100">
        <f t="shared" si="12"/>
        <v>0</v>
      </c>
      <c r="AB52" s="100">
        <f t="shared" si="12"/>
        <v>0</v>
      </c>
      <c r="AC52" s="100">
        <f t="shared" si="12"/>
        <v>0</v>
      </c>
      <c r="AD52" s="101">
        <f t="shared" si="12"/>
        <v>0</v>
      </c>
      <c r="AE52" s="101">
        <f t="shared" si="12"/>
        <v>0</v>
      </c>
      <c r="AF52" s="101">
        <f t="shared" si="12"/>
        <v>0</v>
      </c>
    </row>
    <row r="53" spans="1:32" ht="15" hidden="1">
      <c r="A53" s="48"/>
      <c r="B53" s="53" t="s">
        <v>60</v>
      </c>
      <c r="C53" s="53" t="s">
        <v>34</v>
      </c>
      <c r="D53" s="53" t="s">
        <v>33</v>
      </c>
      <c r="E53" s="48"/>
      <c r="F53" s="48"/>
      <c r="G53" s="48"/>
      <c r="H53" s="48"/>
      <c r="I53" s="71"/>
      <c r="J53" s="121">
        <v>1201</v>
      </c>
      <c r="K53" s="122">
        <v>0.9020030564861431</v>
      </c>
      <c r="L53" s="109"/>
      <c r="M53" s="109"/>
      <c r="N53" s="109"/>
      <c r="O53" s="109"/>
      <c r="P53" s="109"/>
      <c r="Q53" s="105"/>
      <c r="R53" s="105"/>
      <c r="S53" s="105"/>
      <c r="T53" s="105"/>
      <c r="U53" s="105"/>
      <c r="V53" s="105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1:32" ht="15" hidden="1">
      <c r="A54" s="48"/>
      <c r="B54" s="53"/>
      <c r="C54" s="53">
        <v>105</v>
      </c>
      <c r="D54" s="53">
        <v>-40</v>
      </c>
      <c r="E54" s="48"/>
      <c r="F54" s="48"/>
      <c r="G54" s="48"/>
      <c r="H54" s="48"/>
      <c r="I54" s="71"/>
      <c r="J54" s="123">
        <v>1202</v>
      </c>
      <c r="K54" s="122">
        <v>0.9046904167180263</v>
      </c>
      <c r="L54" s="109"/>
      <c r="M54" s="109"/>
      <c r="N54" s="109"/>
      <c r="O54" s="105"/>
      <c r="P54" s="105"/>
      <c r="Q54" s="105"/>
      <c r="R54" s="105"/>
      <c r="S54" s="105"/>
      <c r="T54" s="105"/>
      <c r="U54" s="105"/>
      <c r="V54" s="105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</row>
    <row r="55" spans="1:32" ht="15" hidden="1">
      <c r="A55" s="48"/>
      <c r="B55" s="53" t="s">
        <v>35</v>
      </c>
      <c r="C55" s="53" t="s">
        <v>34</v>
      </c>
      <c r="D55" s="53" t="s">
        <v>33</v>
      </c>
      <c r="E55" s="48"/>
      <c r="F55" s="48"/>
      <c r="G55" s="48"/>
      <c r="H55" s="48"/>
      <c r="I55" s="71"/>
      <c r="J55" s="123">
        <v>1203</v>
      </c>
      <c r="K55" s="122">
        <v>0.90612930610180109</v>
      </c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</row>
    <row r="56" spans="1:32" ht="15" hidden="1">
      <c r="A56" s="48"/>
      <c r="B56" s="53"/>
      <c r="C56" s="53">
        <v>140</v>
      </c>
      <c r="D56" s="53">
        <v>-25</v>
      </c>
      <c r="E56" s="48"/>
      <c r="F56" s="48"/>
      <c r="G56" s="48"/>
      <c r="H56" s="48"/>
      <c r="I56" s="71"/>
      <c r="J56" s="123">
        <v>1204</v>
      </c>
      <c r="K56" s="122">
        <v>0.90824300272093206</v>
      </c>
      <c r="L56" s="105">
        <v>1368</v>
      </c>
      <c r="M56" s="105">
        <v>1324</v>
      </c>
      <c r="N56" s="105">
        <v>1290</v>
      </c>
      <c r="O56" s="105">
        <v>1246</v>
      </c>
      <c r="P56" s="105">
        <v>1167</v>
      </c>
      <c r="Q56" s="105">
        <v>1179</v>
      </c>
      <c r="R56" s="105">
        <v>1151</v>
      </c>
      <c r="S56" s="105">
        <v>1112</v>
      </c>
      <c r="T56" s="105">
        <v>1056</v>
      </c>
      <c r="U56" s="105">
        <v>1001</v>
      </c>
      <c r="V56" s="105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1:32" ht="14.25" hidden="1">
      <c r="A57" s="48"/>
      <c r="B57" s="48"/>
      <c r="C57" s="48"/>
      <c r="D57" s="48"/>
      <c r="E57" s="48"/>
      <c r="F57" s="48"/>
      <c r="G57" s="48"/>
      <c r="H57" s="48"/>
      <c r="I57" s="71"/>
      <c r="J57" s="123">
        <v>1205</v>
      </c>
      <c r="K57" s="122">
        <v>0.90797096123356902</v>
      </c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1:32" ht="14.25" hidden="1" customHeight="1">
      <c r="H58" s="48"/>
      <c r="I58" s="124"/>
      <c r="J58" s="123">
        <v>1206</v>
      </c>
      <c r="K58" s="122">
        <v>0.90960013594293576</v>
      </c>
      <c r="L58" s="105">
        <v>2123</v>
      </c>
      <c r="M58" s="105">
        <v>2054</v>
      </c>
      <c r="N58" s="105">
        <v>2002</v>
      </c>
      <c r="O58" s="105">
        <v>1934</v>
      </c>
      <c r="P58" s="105">
        <v>1812</v>
      </c>
      <c r="Q58" s="105">
        <v>1830</v>
      </c>
      <c r="R58" s="105">
        <v>1786</v>
      </c>
      <c r="S58" s="105">
        <v>1726</v>
      </c>
      <c r="T58" s="105">
        <v>1638</v>
      </c>
      <c r="U58" s="105">
        <v>1554</v>
      </c>
      <c r="V58" s="105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</row>
    <row r="59" spans="1:32" ht="21" hidden="1">
      <c r="A59" s="231" t="s">
        <v>123</v>
      </c>
      <c r="B59" s="231"/>
      <c r="C59" s="56" t="s">
        <v>124</v>
      </c>
      <c r="H59" s="48"/>
      <c r="I59" s="71"/>
      <c r="J59" s="123">
        <v>1208</v>
      </c>
      <c r="K59" s="122">
        <v>0.91122194967141734</v>
      </c>
      <c r="L59" s="105">
        <v>2775</v>
      </c>
      <c r="M59" s="105">
        <v>2685</v>
      </c>
      <c r="N59" s="105">
        <v>2617</v>
      </c>
      <c r="O59" s="105">
        <v>2528</v>
      </c>
      <c r="P59" s="105">
        <v>2368</v>
      </c>
      <c r="Q59" s="105">
        <v>2392</v>
      </c>
      <c r="R59" s="105">
        <v>2335</v>
      </c>
      <c r="S59" s="105">
        <v>2256</v>
      </c>
      <c r="T59" s="105">
        <v>2141</v>
      </c>
      <c r="U59" s="105">
        <v>2031</v>
      </c>
      <c r="V59" s="105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</row>
    <row r="60" spans="1:32" ht="14.25" hidden="1">
      <c r="H60" s="48"/>
      <c r="I60" s="71"/>
      <c r="J60" s="123">
        <v>1210</v>
      </c>
      <c r="K60" s="122">
        <v>0.91203010492986947</v>
      </c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</row>
    <row r="61" spans="1:32" ht="14.25" hidden="1">
      <c r="C61" s="49" t="s">
        <v>83</v>
      </c>
      <c r="D61" s="49" t="s">
        <v>37</v>
      </c>
      <c r="E61" s="49" t="s">
        <v>38</v>
      </c>
      <c r="F61" s="49" t="s">
        <v>39</v>
      </c>
      <c r="G61" s="49" t="s">
        <v>40</v>
      </c>
      <c r="H61" s="48"/>
      <c r="I61" s="71"/>
      <c r="J61" s="123">
        <v>1211</v>
      </c>
      <c r="K61" s="122">
        <v>0.9118955395460826</v>
      </c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</row>
    <row r="62" spans="1:32" ht="14.25" hidden="1">
      <c r="B62" s="57" t="s">
        <v>41</v>
      </c>
      <c r="C62" s="113">
        <v>1.0119431074742607E-8</v>
      </c>
      <c r="D62" s="113">
        <v>0.21105761006135373</v>
      </c>
      <c r="E62" s="113">
        <v>-1.6935931880461949E-6</v>
      </c>
      <c r="F62" s="113">
        <v>-1.115215453639155E-8</v>
      </c>
      <c r="G62" s="113">
        <v>2.7366883102613162E-6</v>
      </c>
      <c r="H62" s="48"/>
      <c r="I62" s="71"/>
      <c r="J62" s="123">
        <v>1212</v>
      </c>
      <c r="K62" s="122">
        <v>0.91122194967141734</v>
      </c>
      <c r="L62" s="105">
        <v>4301</v>
      </c>
      <c r="M62" s="105">
        <v>4162</v>
      </c>
      <c r="N62" s="105">
        <v>4056</v>
      </c>
      <c r="O62" s="105">
        <v>3918</v>
      </c>
      <c r="P62" s="105">
        <v>3670</v>
      </c>
      <c r="Q62" s="105">
        <v>3708</v>
      </c>
      <c r="R62" s="105">
        <v>3619</v>
      </c>
      <c r="S62" s="105">
        <v>3497</v>
      </c>
      <c r="T62" s="105">
        <v>3319</v>
      </c>
      <c r="U62" s="105">
        <v>3148</v>
      </c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</row>
    <row r="63" spans="1:32" ht="14.25" hidden="1">
      <c r="B63" s="57" t="s">
        <v>42</v>
      </c>
      <c r="C63" s="113">
        <v>-1.2314719114487644E-5</v>
      </c>
      <c r="D63" s="113">
        <v>8.6374162150953868</v>
      </c>
      <c r="E63" s="113">
        <v>1.3420711790919167E-3</v>
      </c>
      <c r="F63" s="113">
        <v>-4.1294483136519757E-6</v>
      </c>
      <c r="G63" s="113">
        <v>-9.4613757242850683E-4</v>
      </c>
      <c r="H63" s="48"/>
      <c r="I63" s="71"/>
      <c r="J63" s="123">
        <v>1812</v>
      </c>
      <c r="K63" s="122">
        <v>0.91404249567067186</v>
      </c>
      <c r="L63" s="105">
        <v>6299</v>
      </c>
      <c r="M63" s="105">
        <v>6095</v>
      </c>
      <c r="N63" s="105">
        <v>5941</v>
      </c>
      <c r="O63" s="105">
        <v>5739</v>
      </c>
      <c r="P63" s="105">
        <v>5375</v>
      </c>
      <c r="Q63" s="105">
        <v>5430</v>
      </c>
      <c r="R63" s="105">
        <v>5300</v>
      </c>
      <c r="S63" s="105">
        <v>5121</v>
      </c>
      <c r="T63" s="105">
        <v>4860</v>
      </c>
      <c r="U63" s="105">
        <v>4610</v>
      </c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</row>
    <row r="64" spans="1:32" ht="14.25" hidden="1">
      <c r="B64" s="57" t="s">
        <v>43</v>
      </c>
      <c r="C64" s="113">
        <v>1.2119154446513892E-2</v>
      </c>
      <c r="D64" s="113">
        <v>81.029256393012432</v>
      </c>
      <c r="E64" s="113">
        <v>0.89293169870490163</v>
      </c>
      <c r="F64" s="113">
        <v>-1.3906686657642209E-3</v>
      </c>
      <c r="G64" s="113">
        <v>1.0219430090961608</v>
      </c>
      <c r="H64" s="48"/>
      <c r="I64" s="71"/>
      <c r="J64" s="123">
        <v>1818</v>
      </c>
      <c r="K64" s="122">
        <v>0.9146439910955716</v>
      </c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</row>
    <row r="65" spans="1:32" ht="14.25" hidden="1">
      <c r="B65" s="57" t="s">
        <v>58</v>
      </c>
      <c r="C65" s="113">
        <v>1.648259387612208E-3</v>
      </c>
      <c r="D65" s="113">
        <v>0.11848164478038881</v>
      </c>
      <c r="E65" s="113"/>
      <c r="F65" s="113">
        <v>1.0375218742414281</v>
      </c>
      <c r="G65" s="113"/>
      <c r="H65" s="48"/>
      <c r="I65" s="71"/>
      <c r="J65" s="123">
        <v>1825</v>
      </c>
      <c r="K65" s="122">
        <v>0.91902380020263508</v>
      </c>
      <c r="L65" s="105"/>
      <c r="M65" s="105"/>
      <c r="N65" s="105"/>
      <c r="O65" s="105"/>
      <c r="P65" s="105"/>
      <c r="Q65" s="109"/>
      <c r="R65" s="105"/>
      <c r="S65" s="105"/>
      <c r="T65" s="105"/>
      <c r="U65" s="105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</row>
    <row r="66" spans="1:32" ht="14.25" hidden="1">
      <c r="A66" s="48"/>
      <c r="B66" s="48"/>
      <c r="C66" s="58"/>
      <c r="D66" s="59"/>
      <c r="E66" s="48"/>
      <c r="F66" s="48"/>
      <c r="G66" s="48"/>
      <c r="H66" s="48"/>
      <c r="I66" s="71"/>
      <c r="J66" s="123">
        <v>3618</v>
      </c>
      <c r="K66" s="122">
        <v>0.92001160061693388</v>
      </c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</row>
    <row r="67" spans="1:32" ht="14.25" hidden="1">
      <c r="A67" s="48"/>
      <c r="B67" s="48"/>
      <c r="C67" s="60"/>
      <c r="D67" s="61"/>
      <c r="E67" s="48"/>
      <c r="F67" s="48"/>
      <c r="G67" s="48"/>
      <c r="H67" s="48"/>
      <c r="I67" s="48"/>
      <c r="J67" s="48"/>
      <c r="L67" s="48" t="s">
        <v>77</v>
      </c>
      <c r="M67" s="62"/>
      <c r="N67" s="62"/>
      <c r="O67" s="107"/>
      <c r="P67" s="62"/>
      <c r="Q67" s="62"/>
      <c r="R67" s="62"/>
      <c r="S67" s="62"/>
      <c r="T67" s="62"/>
      <c r="U67" s="106"/>
      <c r="V67" s="62"/>
      <c r="W67" s="62"/>
      <c r="X67" s="57"/>
      <c r="Y67" s="57"/>
      <c r="Z67" s="57"/>
      <c r="AA67" s="57"/>
      <c r="AB67" s="108"/>
    </row>
    <row r="68" spans="1:32" ht="14.25" hidden="1">
      <c r="A68" s="57"/>
      <c r="B68" s="57" t="s">
        <v>36</v>
      </c>
      <c r="C68" s="57" t="s">
        <v>37</v>
      </c>
      <c r="D68" s="57" t="s">
        <v>38</v>
      </c>
      <c r="E68" s="57" t="s">
        <v>39</v>
      </c>
      <c r="F68" s="57" t="s">
        <v>40</v>
      </c>
      <c r="G68" s="48"/>
      <c r="H68" s="62"/>
      <c r="I68" s="62"/>
      <c r="J68" s="62"/>
      <c r="K68" s="62"/>
      <c r="L68" s="131">
        <v>1</v>
      </c>
      <c r="M68" s="131">
        <v>2</v>
      </c>
      <c r="N68" s="131">
        <v>3</v>
      </c>
      <c r="O68" s="131">
        <v>4</v>
      </c>
      <c r="P68" s="131">
        <v>5</v>
      </c>
      <c r="Q68" s="98">
        <v>6</v>
      </c>
      <c r="R68" s="98">
        <v>7</v>
      </c>
      <c r="S68" s="98">
        <v>8</v>
      </c>
      <c r="T68" s="98">
        <v>9</v>
      </c>
      <c r="U68" s="98">
        <v>10</v>
      </c>
      <c r="V68" s="99">
        <v>11</v>
      </c>
      <c r="W68" s="99">
        <v>12</v>
      </c>
      <c r="X68" s="99">
        <v>13</v>
      </c>
      <c r="Y68" s="99">
        <v>14</v>
      </c>
      <c r="Z68" s="99">
        <v>15</v>
      </c>
      <c r="AA68" s="127">
        <v>16</v>
      </c>
      <c r="AB68" s="127">
        <v>17</v>
      </c>
      <c r="AC68" s="127">
        <v>18</v>
      </c>
      <c r="AD68" s="128">
        <v>19</v>
      </c>
      <c r="AE68" s="128">
        <v>20</v>
      </c>
      <c r="AF68" s="128">
        <v>21</v>
      </c>
    </row>
    <row r="69" spans="1:32" ht="14.25" hidden="1">
      <c r="A69" s="57" t="s">
        <v>41</v>
      </c>
      <c r="B69" s="91">
        <f t="shared" ref="B69:F71" si="13">C62</f>
        <v>1.0119431074742607E-8</v>
      </c>
      <c r="C69" s="91">
        <f t="shared" si="13"/>
        <v>0.21105761006135373</v>
      </c>
      <c r="D69" s="91">
        <f t="shared" si="13"/>
        <v>-1.6935931880461949E-6</v>
      </c>
      <c r="E69" s="91">
        <f t="shared" si="13"/>
        <v>-1.115215453639155E-8</v>
      </c>
      <c r="F69" s="91">
        <f t="shared" si="13"/>
        <v>2.7366883102613162E-6</v>
      </c>
      <c r="G69" s="48"/>
      <c r="H69" s="29" t="s">
        <v>1</v>
      </c>
      <c r="I69" s="30" t="s">
        <v>2</v>
      </c>
      <c r="J69" s="62"/>
      <c r="K69" s="62" t="s">
        <v>44</v>
      </c>
      <c r="L69" s="131" t="str">
        <f>I2</f>
        <v>5000K,Natural</v>
      </c>
      <c r="M69" s="131" t="str">
        <f>I3</f>
        <v>4000K,Natural</v>
      </c>
      <c r="N69" s="131" t="str">
        <f>I4</f>
        <v>3500K,Natural</v>
      </c>
      <c r="O69" s="131" t="str">
        <f>I5</f>
        <v>3000K,Natural</v>
      </c>
      <c r="P69" s="131" t="str">
        <f>I6</f>
        <v>2700K,Natural</v>
      </c>
      <c r="Q69" s="98" t="str">
        <f>I7</f>
        <v>5000K,Brilliant</v>
      </c>
      <c r="R69" s="98" t="str">
        <f>I8</f>
        <v>4000K,Brilliant</v>
      </c>
      <c r="S69" s="98" t="str">
        <f>I9</f>
        <v>3500K,Brilliant</v>
      </c>
      <c r="T69" s="98" t="str">
        <f>I10</f>
        <v>3000K,Brilliant</v>
      </c>
      <c r="U69" s="98" t="str">
        <f>I11</f>
        <v>2700K,Brilliant</v>
      </c>
      <c r="V69" s="99">
        <f>I12</f>
        <v>0</v>
      </c>
      <c r="W69" s="99">
        <f>I13</f>
        <v>0</v>
      </c>
      <c r="X69" s="99">
        <f>I14</f>
        <v>0</v>
      </c>
      <c r="Y69" s="99">
        <f>I15</f>
        <v>0</v>
      </c>
      <c r="Z69" s="99">
        <f>I16</f>
        <v>0</v>
      </c>
      <c r="AA69" s="100">
        <f>I17</f>
        <v>0</v>
      </c>
      <c r="AB69" s="100">
        <f>I18</f>
        <v>0</v>
      </c>
      <c r="AC69" s="100">
        <f>I19</f>
        <v>0</v>
      </c>
      <c r="AD69" s="101">
        <f>I20</f>
        <v>0</v>
      </c>
      <c r="AE69" s="101">
        <f>I21</f>
        <v>0</v>
      </c>
      <c r="AF69" s="101">
        <f>I22</f>
        <v>0</v>
      </c>
    </row>
    <row r="70" spans="1:32" ht="14.25" hidden="1">
      <c r="A70" s="57" t="s">
        <v>42</v>
      </c>
      <c r="B70" s="91">
        <f t="shared" si="13"/>
        <v>-1.2314719114487644E-5</v>
      </c>
      <c r="C70" s="91">
        <f t="shared" si="13"/>
        <v>8.6374162150953868</v>
      </c>
      <c r="D70" s="91">
        <f t="shared" si="13"/>
        <v>1.3420711790919167E-3</v>
      </c>
      <c r="E70" s="91">
        <f t="shared" si="13"/>
        <v>-4.1294483136519757E-6</v>
      </c>
      <c r="F70" s="91">
        <f t="shared" si="13"/>
        <v>-9.4613757242850683E-4</v>
      </c>
      <c r="G70" s="48">
        <f>H70*I70</f>
        <v>12</v>
      </c>
      <c r="H70" s="115">
        <v>12</v>
      </c>
      <c r="I70" s="116">
        <v>1</v>
      </c>
      <c r="J70" s="48" t="str">
        <f t="shared" ref="J70:J83" si="14">B2</f>
        <v>CLU028-1201C4</v>
      </c>
      <c r="K70" s="112">
        <v>35.87874495285147</v>
      </c>
      <c r="L70" s="105">
        <f t="shared" ref="L70:L71" si="15">L53/$K53</f>
        <v>0</v>
      </c>
      <c r="M70" s="105">
        <f t="shared" ref="M70:AF70" si="16">M53/$K53</f>
        <v>0</v>
      </c>
      <c r="N70" s="105">
        <f t="shared" si="16"/>
        <v>0</v>
      </c>
      <c r="O70" s="105">
        <f t="shared" si="16"/>
        <v>0</v>
      </c>
      <c r="P70" s="105">
        <f t="shared" si="16"/>
        <v>0</v>
      </c>
      <c r="Q70" s="105">
        <f t="shared" si="16"/>
        <v>0</v>
      </c>
      <c r="R70" s="105">
        <f t="shared" si="16"/>
        <v>0</v>
      </c>
      <c r="S70" s="105">
        <f t="shared" si="16"/>
        <v>0</v>
      </c>
      <c r="T70" s="105">
        <f t="shared" si="16"/>
        <v>0</v>
      </c>
      <c r="U70" s="105">
        <f t="shared" si="16"/>
        <v>0</v>
      </c>
      <c r="V70" s="105">
        <f t="shared" si="16"/>
        <v>0</v>
      </c>
      <c r="W70" s="105">
        <f t="shared" si="16"/>
        <v>0</v>
      </c>
      <c r="X70" s="105">
        <f t="shared" si="16"/>
        <v>0</v>
      </c>
      <c r="Y70" s="105">
        <f t="shared" si="16"/>
        <v>0</v>
      </c>
      <c r="Z70" s="105">
        <f t="shared" si="16"/>
        <v>0</v>
      </c>
      <c r="AA70" s="105">
        <f t="shared" si="16"/>
        <v>0</v>
      </c>
      <c r="AB70" s="105">
        <f t="shared" si="16"/>
        <v>0</v>
      </c>
      <c r="AC70" s="105">
        <f t="shared" si="16"/>
        <v>0</v>
      </c>
      <c r="AD70" s="105">
        <f t="shared" si="16"/>
        <v>0</v>
      </c>
      <c r="AE70" s="105">
        <f t="shared" si="16"/>
        <v>0</v>
      </c>
      <c r="AF70" s="105">
        <f t="shared" si="16"/>
        <v>0</v>
      </c>
    </row>
    <row r="71" spans="1:32" ht="14.25" hidden="1">
      <c r="A71" s="57" t="s">
        <v>43</v>
      </c>
      <c r="B71" s="91">
        <f t="shared" si="13"/>
        <v>1.2119154446513892E-2</v>
      </c>
      <c r="C71" s="91">
        <f t="shared" si="13"/>
        <v>81.029256393012432</v>
      </c>
      <c r="D71" s="91">
        <f t="shared" si="13"/>
        <v>0.89293169870490163</v>
      </c>
      <c r="E71" s="91">
        <f t="shared" si="13"/>
        <v>-1.3906686657642209E-3</v>
      </c>
      <c r="F71" s="91">
        <f t="shared" si="13"/>
        <v>1.0219430090961608</v>
      </c>
      <c r="G71" s="48">
        <f>H71*I71</f>
        <v>24</v>
      </c>
      <c r="H71" s="111">
        <v>12</v>
      </c>
      <c r="I71" s="111">
        <v>2</v>
      </c>
      <c r="J71" s="48" t="str">
        <f t="shared" si="14"/>
        <v>CLU028-1202C4</v>
      </c>
      <c r="K71" s="112">
        <v>35.854776667344296</v>
      </c>
      <c r="L71" s="105">
        <f t="shared" si="15"/>
        <v>0</v>
      </c>
      <c r="M71" s="105">
        <f t="shared" ref="M71:AF71" si="17">M54/$K54</f>
        <v>0</v>
      </c>
      <c r="N71" s="105">
        <f t="shared" si="17"/>
        <v>0</v>
      </c>
      <c r="O71" s="105">
        <f t="shared" si="17"/>
        <v>0</v>
      </c>
      <c r="P71" s="105">
        <f t="shared" si="17"/>
        <v>0</v>
      </c>
      <c r="Q71" s="105">
        <f t="shared" si="17"/>
        <v>0</v>
      </c>
      <c r="R71" s="105">
        <f t="shared" si="17"/>
        <v>0</v>
      </c>
      <c r="S71" s="105">
        <f t="shared" si="17"/>
        <v>0</v>
      </c>
      <c r="T71" s="105">
        <f t="shared" si="17"/>
        <v>0</v>
      </c>
      <c r="U71" s="105">
        <f t="shared" si="17"/>
        <v>0</v>
      </c>
      <c r="V71" s="105">
        <f t="shared" si="17"/>
        <v>0</v>
      </c>
      <c r="W71" s="105">
        <f t="shared" si="17"/>
        <v>0</v>
      </c>
      <c r="X71" s="105">
        <f t="shared" si="17"/>
        <v>0</v>
      </c>
      <c r="Y71" s="105">
        <f t="shared" si="17"/>
        <v>0</v>
      </c>
      <c r="Z71" s="105">
        <f t="shared" si="17"/>
        <v>0</v>
      </c>
      <c r="AA71" s="105">
        <f t="shared" si="17"/>
        <v>0</v>
      </c>
      <c r="AB71" s="105">
        <f t="shared" si="17"/>
        <v>0</v>
      </c>
      <c r="AC71" s="105">
        <f t="shared" si="17"/>
        <v>0</v>
      </c>
      <c r="AD71" s="105">
        <f t="shared" si="17"/>
        <v>0</v>
      </c>
      <c r="AE71" s="105">
        <f t="shared" si="17"/>
        <v>0</v>
      </c>
      <c r="AF71" s="105">
        <f t="shared" si="17"/>
        <v>0</v>
      </c>
    </row>
    <row r="72" spans="1:32" ht="14.25" hidden="1">
      <c r="A72" s="62" t="s">
        <v>59</v>
      </c>
      <c r="B72" s="91">
        <f>C65</f>
        <v>1.648259387612208E-3</v>
      </c>
      <c r="C72" s="91">
        <f>D65</f>
        <v>0.11848164478038881</v>
      </c>
      <c r="D72" s="92"/>
      <c r="E72" s="91">
        <f>F65</f>
        <v>1.0375218742414281</v>
      </c>
      <c r="F72" s="92"/>
      <c r="G72" s="48">
        <f t="shared" ref="G72:G82" si="18">H72*I72</f>
        <v>36</v>
      </c>
      <c r="H72" s="111">
        <v>12</v>
      </c>
      <c r="I72" s="111">
        <v>3</v>
      </c>
      <c r="J72" s="48" t="str">
        <f t="shared" si="14"/>
        <v>CLU028-1203C4</v>
      </c>
      <c r="K72" s="112">
        <v>35.841759621654774</v>
      </c>
      <c r="L72" s="105">
        <f t="shared" ref="L72:M78" si="19">L55/$K55</f>
        <v>0</v>
      </c>
      <c r="M72" s="105">
        <f t="shared" si="19"/>
        <v>0</v>
      </c>
      <c r="N72" s="105">
        <f t="shared" ref="N72:AF72" si="20">N55/$K55</f>
        <v>0</v>
      </c>
      <c r="O72" s="105">
        <f t="shared" si="20"/>
        <v>0</v>
      </c>
      <c r="P72" s="105">
        <f t="shared" si="20"/>
        <v>0</v>
      </c>
      <c r="Q72" s="105">
        <f t="shared" si="20"/>
        <v>0</v>
      </c>
      <c r="R72" s="105">
        <f t="shared" si="20"/>
        <v>0</v>
      </c>
      <c r="S72" s="105">
        <f t="shared" si="20"/>
        <v>0</v>
      </c>
      <c r="T72" s="105">
        <f t="shared" si="20"/>
        <v>0</v>
      </c>
      <c r="U72" s="105">
        <f t="shared" si="20"/>
        <v>0</v>
      </c>
      <c r="V72" s="105">
        <f t="shared" si="20"/>
        <v>0</v>
      </c>
      <c r="W72" s="105">
        <f t="shared" si="20"/>
        <v>0</v>
      </c>
      <c r="X72" s="105">
        <f t="shared" si="20"/>
        <v>0</v>
      </c>
      <c r="Y72" s="105">
        <f t="shared" si="20"/>
        <v>0</v>
      </c>
      <c r="Z72" s="105">
        <f t="shared" si="20"/>
        <v>0</v>
      </c>
      <c r="AA72" s="105">
        <f t="shared" si="20"/>
        <v>0</v>
      </c>
      <c r="AB72" s="105">
        <f t="shared" si="20"/>
        <v>0</v>
      </c>
      <c r="AC72" s="105">
        <f t="shared" si="20"/>
        <v>0</v>
      </c>
      <c r="AD72" s="105">
        <f t="shared" si="20"/>
        <v>0</v>
      </c>
      <c r="AE72" s="105">
        <f t="shared" si="20"/>
        <v>0</v>
      </c>
      <c r="AF72" s="105">
        <f t="shared" si="20"/>
        <v>0</v>
      </c>
    </row>
    <row r="73" spans="1:32" ht="14.25" hidden="1">
      <c r="A73" s="48"/>
      <c r="B73" s="65"/>
      <c r="C73" s="65"/>
      <c r="D73" s="48"/>
      <c r="E73" s="48"/>
      <c r="G73" s="48">
        <f t="shared" si="18"/>
        <v>48</v>
      </c>
      <c r="H73" s="111">
        <v>12</v>
      </c>
      <c r="I73" s="111">
        <v>4</v>
      </c>
      <c r="J73" s="48" t="str">
        <f t="shared" si="14"/>
        <v>CLU028-1204C4</v>
      </c>
      <c r="K73" s="112">
        <v>35.822402387903324</v>
      </c>
      <c r="L73" s="105">
        <f t="shared" si="19"/>
        <v>1506.2048327393868</v>
      </c>
      <c r="M73" s="105">
        <f t="shared" si="19"/>
        <v>1457.7596480606346</v>
      </c>
      <c r="N73" s="105">
        <f t="shared" ref="N73:AF73" si="21">N56/$K56</f>
        <v>1420.3247326270534</v>
      </c>
      <c r="O73" s="105">
        <f t="shared" si="21"/>
        <v>1371.8795479483013</v>
      </c>
      <c r="P73" s="105">
        <f t="shared" si="21"/>
        <v>1284.8984209114508</v>
      </c>
      <c r="Q73" s="105">
        <f t="shared" si="21"/>
        <v>1298.1107440056558</v>
      </c>
      <c r="R73" s="105">
        <f t="shared" si="21"/>
        <v>1267.2819901191772</v>
      </c>
      <c r="S73" s="105">
        <f t="shared" si="21"/>
        <v>1224.3419400630105</v>
      </c>
      <c r="T73" s="105">
        <f t="shared" si="21"/>
        <v>1162.6844322900531</v>
      </c>
      <c r="U73" s="105">
        <f t="shared" si="21"/>
        <v>1102.1279514416128</v>
      </c>
      <c r="V73" s="105">
        <f t="shared" si="21"/>
        <v>0</v>
      </c>
      <c r="W73" s="105">
        <f t="shared" si="21"/>
        <v>0</v>
      </c>
      <c r="X73" s="105">
        <f t="shared" si="21"/>
        <v>0</v>
      </c>
      <c r="Y73" s="105">
        <f t="shared" si="21"/>
        <v>0</v>
      </c>
      <c r="Z73" s="105">
        <f t="shared" si="21"/>
        <v>0</v>
      </c>
      <c r="AA73" s="105">
        <f t="shared" si="21"/>
        <v>0</v>
      </c>
      <c r="AB73" s="105">
        <f t="shared" si="21"/>
        <v>0</v>
      </c>
      <c r="AC73" s="105">
        <f t="shared" si="21"/>
        <v>0</v>
      </c>
      <c r="AD73" s="105">
        <f t="shared" si="21"/>
        <v>0</v>
      </c>
      <c r="AE73" s="105">
        <f t="shared" si="21"/>
        <v>0</v>
      </c>
      <c r="AF73" s="105">
        <f t="shared" si="21"/>
        <v>0</v>
      </c>
    </row>
    <row r="74" spans="1:32" ht="15" hidden="1">
      <c r="A74" s="48"/>
      <c r="B74" s="66"/>
      <c r="C74" s="67"/>
      <c r="D74" s="48" t="str">
        <f>CONCATENATE("lm(%,@",E78,"C)")</f>
        <v>lm(%,@25C)</v>
      </c>
      <c r="E74" s="68">
        <f>E69*$E$78^3+E70*$E$78^2+E71*$E$78+E72</f>
        <v>0.99999999998665889</v>
      </c>
      <c r="F74" s="69"/>
      <c r="G74" s="48">
        <f t="shared" si="18"/>
        <v>60</v>
      </c>
      <c r="H74" s="111">
        <v>12</v>
      </c>
      <c r="I74" s="111">
        <v>5</v>
      </c>
      <c r="J74" s="48" t="str">
        <f t="shared" si="14"/>
        <v>CLU038-1205C4</v>
      </c>
      <c r="K74" s="112">
        <v>35.824909565181507</v>
      </c>
      <c r="L74" s="105">
        <f t="shared" si="19"/>
        <v>0</v>
      </c>
      <c r="M74" s="105">
        <f t="shared" si="19"/>
        <v>0</v>
      </c>
      <c r="N74" s="105">
        <f t="shared" ref="N74:AF74" si="22">N57/$K57</f>
        <v>0</v>
      </c>
      <c r="O74" s="105">
        <f t="shared" si="22"/>
        <v>0</v>
      </c>
      <c r="P74" s="105">
        <f t="shared" si="22"/>
        <v>0</v>
      </c>
      <c r="Q74" s="105">
        <f t="shared" si="22"/>
        <v>0</v>
      </c>
      <c r="R74" s="105">
        <f t="shared" si="22"/>
        <v>0</v>
      </c>
      <c r="S74" s="105">
        <f t="shared" si="22"/>
        <v>0</v>
      </c>
      <c r="T74" s="105">
        <f t="shared" si="22"/>
        <v>0</v>
      </c>
      <c r="U74" s="105">
        <f t="shared" si="22"/>
        <v>0</v>
      </c>
      <c r="V74" s="105">
        <f t="shared" si="22"/>
        <v>0</v>
      </c>
      <c r="W74" s="105">
        <f t="shared" si="22"/>
        <v>0</v>
      </c>
      <c r="X74" s="105">
        <f t="shared" si="22"/>
        <v>0</v>
      </c>
      <c r="Y74" s="105">
        <f t="shared" si="22"/>
        <v>0</v>
      </c>
      <c r="Z74" s="105">
        <f t="shared" si="22"/>
        <v>0</v>
      </c>
      <c r="AA74" s="105">
        <f t="shared" si="22"/>
        <v>0</v>
      </c>
      <c r="AB74" s="105">
        <f t="shared" si="22"/>
        <v>0</v>
      </c>
      <c r="AC74" s="105">
        <f t="shared" si="22"/>
        <v>0</v>
      </c>
      <c r="AD74" s="105">
        <f t="shared" si="22"/>
        <v>0</v>
      </c>
      <c r="AE74" s="105">
        <f t="shared" si="22"/>
        <v>0</v>
      </c>
      <c r="AF74" s="105">
        <f t="shared" si="22"/>
        <v>0</v>
      </c>
    </row>
    <row r="75" spans="1:32" ht="14.25" hidden="1">
      <c r="A75" s="48"/>
      <c r="B75" s="48"/>
      <c r="C75" s="48"/>
      <c r="D75" s="48"/>
      <c r="E75" s="48"/>
      <c r="G75" s="48">
        <f t="shared" si="18"/>
        <v>72</v>
      </c>
      <c r="H75" s="111">
        <v>12</v>
      </c>
      <c r="I75" s="111">
        <v>6</v>
      </c>
      <c r="J75" s="48" t="str">
        <f t="shared" si="14"/>
        <v>CLU038-1206C4</v>
      </c>
      <c r="K75" s="112">
        <v>35.809824493665346</v>
      </c>
      <c r="L75" s="105">
        <f t="shared" si="19"/>
        <v>2333.9926151167456</v>
      </c>
      <c r="M75" s="105">
        <f t="shared" si="19"/>
        <v>2258.1351066650004</v>
      </c>
      <c r="N75" s="105">
        <f t="shared" ref="N75:AF75" si="23">N58/$K58</f>
        <v>2200.9671292810763</v>
      </c>
      <c r="O75" s="105">
        <f t="shared" si="23"/>
        <v>2126.2090050097909</v>
      </c>
      <c r="P75" s="105">
        <f t="shared" si="23"/>
        <v>1992.0841349936613</v>
      </c>
      <c r="Q75" s="105">
        <f t="shared" si="23"/>
        <v>2011.8730502419428</v>
      </c>
      <c r="R75" s="105">
        <f t="shared" si="23"/>
        <v>1963.5001463016993</v>
      </c>
      <c r="S75" s="105">
        <f t="shared" si="23"/>
        <v>1897.5370954740947</v>
      </c>
      <c r="T75" s="105">
        <f t="shared" si="23"/>
        <v>1800.7912875936079</v>
      </c>
      <c r="U75" s="105">
        <f t="shared" si="23"/>
        <v>1708.4430164349612</v>
      </c>
      <c r="V75" s="105">
        <f t="shared" si="23"/>
        <v>0</v>
      </c>
      <c r="W75" s="105">
        <f t="shared" si="23"/>
        <v>0</v>
      </c>
      <c r="X75" s="105">
        <f t="shared" si="23"/>
        <v>0</v>
      </c>
      <c r="Y75" s="105">
        <f t="shared" si="23"/>
        <v>0</v>
      </c>
      <c r="Z75" s="105">
        <f t="shared" si="23"/>
        <v>0</v>
      </c>
      <c r="AA75" s="105">
        <f t="shared" si="23"/>
        <v>0</v>
      </c>
      <c r="AB75" s="105">
        <f t="shared" si="23"/>
        <v>0</v>
      </c>
      <c r="AC75" s="105">
        <f t="shared" si="23"/>
        <v>0</v>
      </c>
      <c r="AD75" s="105">
        <f t="shared" si="23"/>
        <v>0</v>
      </c>
      <c r="AE75" s="105">
        <f t="shared" si="23"/>
        <v>0</v>
      </c>
      <c r="AF75" s="105">
        <f t="shared" si="23"/>
        <v>0</v>
      </c>
    </row>
    <row r="76" spans="1:32" ht="14.25" hidden="1">
      <c r="A76" s="48"/>
      <c r="B76" s="48"/>
      <c r="C76" s="48"/>
      <c r="D76" s="48" t="s">
        <v>23</v>
      </c>
      <c r="E76" s="70">
        <f>Simulator!G6</f>
        <v>90</v>
      </c>
      <c r="G76" s="48">
        <f t="shared" si="18"/>
        <v>96</v>
      </c>
      <c r="H76" s="111">
        <v>12</v>
      </c>
      <c r="I76" s="111">
        <v>8</v>
      </c>
      <c r="J76" s="48" t="str">
        <f t="shared" si="14"/>
        <v>CLU038-1208C4</v>
      </c>
      <c r="K76" s="112">
        <v>35.794638769032886</v>
      </c>
      <c r="L76" s="105">
        <f t="shared" si="19"/>
        <v>3045.3612327936712</v>
      </c>
      <c r="M76" s="105">
        <f t="shared" si="19"/>
        <v>2946.5927603787413</v>
      </c>
      <c r="N76" s="105">
        <f t="shared" ref="N76:AF76" si="24">N59/$K59</f>
        <v>2871.9676923319053</v>
      </c>
      <c r="O76" s="105">
        <f t="shared" si="24"/>
        <v>2774.2966473882525</v>
      </c>
      <c r="P76" s="105">
        <f t="shared" si="24"/>
        <v>2598.7082519839328</v>
      </c>
      <c r="Q76" s="105">
        <f t="shared" si="24"/>
        <v>2625.0465112945808</v>
      </c>
      <c r="R76" s="105">
        <f t="shared" si="24"/>
        <v>2562.4931454317916</v>
      </c>
      <c r="S76" s="105">
        <f t="shared" si="24"/>
        <v>2475.7963752009086</v>
      </c>
      <c r="T76" s="105">
        <f t="shared" si="24"/>
        <v>2349.5922160040541</v>
      </c>
      <c r="U76" s="105">
        <f t="shared" si="24"/>
        <v>2228.8751941635842</v>
      </c>
      <c r="V76" s="105">
        <f t="shared" si="24"/>
        <v>0</v>
      </c>
      <c r="W76" s="105">
        <f t="shared" si="24"/>
        <v>0</v>
      </c>
      <c r="X76" s="105">
        <f t="shared" si="24"/>
        <v>0</v>
      </c>
      <c r="Y76" s="105">
        <f t="shared" si="24"/>
        <v>0</v>
      </c>
      <c r="Z76" s="105">
        <f t="shared" si="24"/>
        <v>0</v>
      </c>
      <c r="AA76" s="105">
        <f t="shared" si="24"/>
        <v>0</v>
      </c>
      <c r="AB76" s="105">
        <f t="shared" si="24"/>
        <v>0</v>
      </c>
      <c r="AC76" s="105">
        <f t="shared" si="24"/>
        <v>0</v>
      </c>
      <c r="AD76" s="105">
        <f t="shared" si="24"/>
        <v>0</v>
      </c>
      <c r="AE76" s="105">
        <f t="shared" si="24"/>
        <v>0</v>
      </c>
      <c r="AF76" s="105">
        <f t="shared" si="24"/>
        <v>0</v>
      </c>
    </row>
    <row r="77" spans="1:32" ht="14.25" hidden="1">
      <c r="A77" s="48"/>
      <c r="B77" s="65"/>
      <c r="C77" s="65"/>
      <c r="D77" s="48"/>
      <c r="E77" s="48"/>
      <c r="G77" s="48">
        <f t="shared" si="18"/>
        <v>120</v>
      </c>
      <c r="H77" s="111">
        <v>12</v>
      </c>
      <c r="I77" s="111">
        <v>10</v>
      </c>
      <c r="J77" s="48" t="str">
        <f t="shared" si="14"/>
        <v>CLU038-1210C4</v>
      </c>
      <c r="K77" s="112">
        <v>35.787008246804334</v>
      </c>
      <c r="L77" s="105">
        <f t="shared" si="19"/>
        <v>0</v>
      </c>
      <c r="M77" s="105">
        <f t="shared" si="19"/>
        <v>0</v>
      </c>
      <c r="N77" s="105">
        <f t="shared" ref="N77:AF77" si="25">N60/$K60</f>
        <v>0</v>
      </c>
      <c r="O77" s="105">
        <f t="shared" si="25"/>
        <v>0</v>
      </c>
      <c r="P77" s="105">
        <f t="shared" si="25"/>
        <v>0</v>
      </c>
      <c r="Q77" s="105">
        <f t="shared" si="25"/>
        <v>0</v>
      </c>
      <c r="R77" s="105">
        <f t="shared" si="25"/>
        <v>0</v>
      </c>
      <c r="S77" s="105">
        <f t="shared" si="25"/>
        <v>0</v>
      </c>
      <c r="T77" s="105">
        <f t="shared" si="25"/>
        <v>0</v>
      </c>
      <c r="U77" s="105">
        <f t="shared" si="25"/>
        <v>0</v>
      </c>
      <c r="V77" s="105">
        <f t="shared" si="25"/>
        <v>0</v>
      </c>
      <c r="W77" s="105">
        <f t="shared" si="25"/>
        <v>0</v>
      </c>
      <c r="X77" s="105">
        <f t="shared" si="25"/>
        <v>0</v>
      </c>
      <c r="Y77" s="105">
        <f t="shared" si="25"/>
        <v>0</v>
      </c>
      <c r="Z77" s="105">
        <f t="shared" si="25"/>
        <v>0</v>
      </c>
      <c r="AA77" s="105">
        <f t="shared" si="25"/>
        <v>0</v>
      </c>
      <c r="AB77" s="105">
        <f t="shared" si="25"/>
        <v>0</v>
      </c>
      <c r="AC77" s="105">
        <f t="shared" si="25"/>
        <v>0</v>
      </c>
      <c r="AD77" s="105">
        <f t="shared" si="25"/>
        <v>0</v>
      </c>
      <c r="AE77" s="105">
        <f t="shared" si="25"/>
        <v>0</v>
      </c>
      <c r="AF77" s="105">
        <f t="shared" si="25"/>
        <v>0</v>
      </c>
    </row>
    <row r="78" spans="1:32" ht="14.25" hidden="1">
      <c r="A78" s="48"/>
      <c r="B78" s="55"/>
      <c r="C78" s="71"/>
      <c r="D78" s="48" t="s">
        <v>45</v>
      </c>
      <c r="E78" s="72">
        <f>Simulator!L6</f>
        <v>25</v>
      </c>
      <c r="G78" s="48">
        <f t="shared" ref="G78" si="26">H78*I78</f>
        <v>132</v>
      </c>
      <c r="H78" s="111">
        <v>12</v>
      </c>
      <c r="I78" s="111">
        <v>11</v>
      </c>
      <c r="J78" s="48" t="str">
        <f t="shared" si="14"/>
        <v>CLU048-1211C4</v>
      </c>
      <c r="K78" s="112">
        <v>35.788281741786278</v>
      </c>
      <c r="L78" s="105">
        <f t="shared" si="19"/>
        <v>0</v>
      </c>
      <c r="M78" s="105">
        <f t="shared" si="19"/>
        <v>0</v>
      </c>
      <c r="N78" s="105">
        <f t="shared" ref="N78:AF78" si="27">N61/$K61</f>
        <v>0</v>
      </c>
      <c r="O78" s="105">
        <f t="shared" si="27"/>
        <v>0</v>
      </c>
      <c r="P78" s="105">
        <f t="shared" si="27"/>
        <v>0</v>
      </c>
      <c r="Q78" s="105">
        <f t="shared" si="27"/>
        <v>0</v>
      </c>
      <c r="R78" s="105">
        <f t="shared" si="27"/>
        <v>0</v>
      </c>
      <c r="S78" s="105">
        <f t="shared" si="27"/>
        <v>0</v>
      </c>
      <c r="T78" s="105">
        <f t="shared" si="27"/>
        <v>0</v>
      </c>
      <c r="U78" s="105">
        <f t="shared" si="27"/>
        <v>0</v>
      </c>
      <c r="V78" s="105">
        <f t="shared" si="27"/>
        <v>0</v>
      </c>
      <c r="W78" s="105">
        <f t="shared" si="27"/>
        <v>0</v>
      </c>
      <c r="X78" s="105">
        <f t="shared" si="27"/>
        <v>0</v>
      </c>
      <c r="Y78" s="105">
        <f t="shared" si="27"/>
        <v>0</v>
      </c>
      <c r="Z78" s="105">
        <f t="shared" si="27"/>
        <v>0</v>
      </c>
      <c r="AA78" s="105">
        <f t="shared" si="27"/>
        <v>0</v>
      </c>
      <c r="AB78" s="105">
        <f t="shared" si="27"/>
        <v>0</v>
      </c>
      <c r="AC78" s="105">
        <f t="shared" si="27"/>
        <v>0</v>
      </c>
      <c r="AD78" s="105">
        <f t="shared" si="27"/>
        <v>0</v>
      </c>
      <c r="AE78" s="105">
        <f t="shared" si="27"/>
        <v>0</v>
      </c>
      <c r="AF78" s="105">
        <f t="shared" si="27"/>
        <v>0</v>
      </c>
    </row>
    <row r="79" spans="1:32" ht="14.25" hidden="1">
      <c r="A79" s="48"/>
      <c r="B79" s="55"/>
      <c r="C79" s="71"/>
      <c r="G79" s="48">
        <f t="shared" si="18"/>
        <v>144</v>
      </c>
      <c r="H79" s="111">
        <v>12</v>
      </c>
      <c r="I79" s="111">
        <v>12</v>
      </c>
      <c r="J79" s="48" t="str">
        <f t="shared" si="14"/>
        <v>CLU048-1212C4</v>
      </c>
      <c r="K79" s="112">
        <v>35.794638769032886</v>
      </c>
      <c r="L79" s="105">
        <f t="shared" ref="L79:M79" si="28">L62/$K62</f>
        <v>4720.0355539623706</v>
      </c>
      <c r="M79" s="105">
        <f t="shared" si="28"/>
        <v>4567.493135454868</v>
      </c>
      <c r="N79" s="105">
        <f t="shared" ref="N79:AF79" si="29">N62/$K62</f>
        <v>4451.1658234995066</v>
      </c>
      <c r="O79" s="105">
        <f t="shared" si="29"/>
        <v>4299.7208324632802</v>
      </c>
      <c r="P79" s="105">
        <f t="shared" si="29"/>
        <v>4027.5588195865848</v>
      </c>
      <c r="Q79" s="105">
        <f t="shared" si="29"/>
        <v>4069.2610634951106</v>
      </c>
      <c r="R79" s="105">
        <f t="shared" si="29"/>
        <v>3971.5900185514579</v>
      </c>
      <c r="S79" s="105">
        <f t="shared" si="29"/>
        <v>3837.703867055664</v>
      </c>
      <c r="T79" s="105">
        <f t="shared" si="29"/>
        <v>3642.3617771683585</v>
      </c>
      <c r="U79" s="105">
        <f t="shared" si="29"/>
        <v>3454.7016795799914</v>
      </c>
      <c r="V79" s="105">
        <f t="shared" si="29"/>
        <v>0</v>
      </c>
      <c r="W79" s="105">
        <f t="shared" si="29"/>
        <v>0</v>
      </c>
      <c r="X79" s="105">
        <f t="shared" si="29"/>
        <v>0</v>
      </c>
      <c r="Y79" s="105">
        <f t="shared" si="29"/>
        <v>0</v>
      </c>
      <c r="Z79" s="105">
        <f t="shared" si="29"/>
        <v>0</v>
      </c>
      <c r="AA79" s="105">
        <f t="shared" si="29"/>
        <v>0</v>
      </c>
      <c r="AB79" s="105">
        <f t="shared" si="29"/>
        <v>0</v>
      </c>
      <c r="AC79" s="105">
        <f t="shared" si="29"/>
        <v>0</v>
      </c>
      <c r="AD79" s="105">
        <f t="shared" si="29"/>
        <v>0</v>
      </c>
      <c r="AE79" s="105">
        <f t="shared" si="29"/>
        <v>0</v>
      </c>
      <c r="AF79" s="105">
        <f t="shared" si="29"/>
        <v>0</v>
      </c>
    </row>
    <row r="80" spans="1:32" ht="14.25" hidden="1">
      <c r="A80" s="48"/>
      <c r="B80" s="48"/>
      <c r="C80" s="48"/>
      <c r="D80" s="74" t="s">
        <v>46</v>
      </c>
      <c r="E80" s="72">
        <f>E76/E74</f>
        <v>90.000000001200704</v>
      </c>
      <c r="G80" s="48">
        <f t="shared" si="18"/>
        <v>216</v>
      </c>
      <c r="H80" s="111">
        <v>18</v>
      </c>
      <c r="I80" s="111">
        <v>12</v>
      </c>
      <c r="J80" s="48" t="str">
        <f t="shared" si="14"/>
        <v>CLU048-1812C4</v>
      </c>
      <c r="K80" s="112">
        <v>53.651733560862233</v>
      </c>
      <c r="L80" s="105">
        <f t="shared" ref="L80" si="30">L63/$K63</f>
        <v>6891.3644932647858</v>
      </c>
      <c r="M80" s="105">
        <f t="shared" ref="M80:AF80" si="31">M63/$K63</f>
        <v>6668.1801216778649</v>
      </c>
      <c r="N80" s="105">
        <f t="shared" si="31"/>
        <v>6499.6978019504832</v>
      </c>
      <c r="O80" s="105">
        <f t="shared" si="31"/>
        <v>6278.7015124379441</v>
      </c>
      <c r="P80" s="105">
        <f t="shared" si="31"/>
        <v>5880.4705749004961</v>
      </c>
      <c r="Q80" s="105">
        <f t="shared" si="31"/>
        <v>5940.6428319459892</v>
      </c>
      <c r="R80" s="105">
        <f t="shared" si="31"/>
        <v>5798.417497111187</v>
      </c>
      <c r="S80" s="105">
        <f t="shared" si="31"/>
        <v>5602.5841514540352</v>
      </c>
      <c r="T80" s="105">
        <f t="shared" si="31"/>
        <v>5317.0394407472395</v>
      </c>
      <c r="U80" s="105">
        <f t="shared" si="31"/>
        <v>5043.5291814495422</v>
      </c>
      <c r="V80" s="105">
        <f t="shared" si="31"/>
        <v>0</v>
      </c>
      <c r="W80" s="105">
        <f t="shared" si="31"/>
        <v>0</v>
      </c>
      <c r="X80" s="105">
        <f t="shared" si="31"/>
        <v>0</v>
      </c>
      <c r="Y80" s="105">
        <f t="shared" si="31"/>
        <v>0</v>
      </c>
      <c r="Z80" s="105">
        <f t="shared" si="31"/>
        <v>0</v>
      </c>
      <c r="AA80" s="105">
        <f t="shared" si="31"/>
        <v>0</v>
      </c>
      <c r="AB80" s="105">
        <f t="shared" si="31"/>
        <v>0</v>
      </c>
      <c r="AC80" s="105">
        <f t="shared" si="31"/>
        <v>0</v>
      </c>
      <c r="AD80" s="105">
        <f t="shared" si="31"/>
        <v>0</v>
      </c>
      <c r="AE80" s="105">
        <f t="shared" si="31"/>
        <v>0</v>
      </c>
      <c r="AF80" s="105">
        <f t="shared" si="31"/>
        <v>0</v>
      </c>
    </row>
    <row r="81" spans="1:32" ht="14.25" hidden="1">
      <c r="A81" s="48"/>
      <c r="B81" s="48"/>
      <c r="C81" s="73"/>
      <c r="G81" s="48">
        <f t="shared" si="18"/>
        <v>324</v>
      </c>
      <c r="H81" s="111">
        <v>18</v>
      </c>
      <c r="I81" s="111">
        <v>18</v>
      </c>
      <c r="J81" s="48" t="str">
        <f t="shared" si="14"/>
        <v>CLU048-1818C4</v>
      </c>
      <c r="K81" s="112">
        <v>53.643054223432067</v>
      </c>
      <c r="L81" s="105">
        <f t="shared" ref="L81" si="32">L64/$K64</f>
        <v>0</v>
      </c>
      <c r="M81" s="105">
        <f t="shared" ref="M81:AF81" si="33">M64/$K64</f>
        <v>0</v>
      </c>
      <c r="N81" s="105">
        <f t="shared" si="33"/>
        <v>0</v>
      </c>
      <c r="O81" s="105">
        <f t="shared" si="33"/>
        <v>0</v>
      </c>
      <c r="P81" s="105">
        <f t="shared" si="33"/>
        <v>0</v>
      </c>
      <c r="Q81" s="105">
        <f t="shared" si="33"/>
        <v>0</v>
      </c>
      <c r="R81" s="105">
        <f t="shared" si="33"/>
        <v>0</v>
      </c>
      <c r="S81" s="105">
        <f t="shared" si="33"/>
        <v>0</v>
      </c>
      <c r="T81" s="105">
        <f t="shared" si="33"/>
        <v>0</v>
      </c>
      <c r="U81" s="105">
        <f t="shared" si="33"/>
        <v>0</v>
      </c>
      <c r="V81" s="105">
        <f t="shared" si="33"/>
        <v>0</v>
      </c>
      <c r="W81" s="105">
        <f t="shared" si="33"/>
        <v>0</v>
      </c>
      <c r="X81" s="105">
        <f t="shared" si="33"/>
        <v>0</v>
      </c>
      <c r="Y81" s="105">
        <f t="shared" si="33"/>
        <v>0</v>
      </c>
      <c r="Z81" s="105">
        <f t="shared" si="33"/>
        <v>0</v>
      </c>
      <c r="AA81" s="105">
        <f t="shared" si="33"/>
        <v>0</v>
      </c>
      <c r="AB81" s="105">
        <f t="shared" si="33"/>
        <v>0</v>
      </c>
      <c r="AC81" s="105">
        <f t="shared" si="33"/>
        <v>0</v>
      </c>
      <c r="AD81" s="105">
        <f t="shared" si="33"/>
        <v>0</v>
      </c>
      <c r="AE81" s="105">
        <f t="shared" si="33"/>
        <v>0</v>
      </c>
      <c r="AF81" s="105">
        <f t="shared" si="33"/>
        <v>0</v>
      </c>
    </row>
    <row r="82" spans="1:32" ht="14.25" hidden="1">
      <c r="A82" s="48"/>
      <c r="B82" s="48"/>
      <c r="C82" s="31"/>
      <c r="G82" s="48">
        <f t="shared" si="18"/>
        <v>450</v>
      </c>
      <c r="H82" s="111">
        <v>18</v>
      </c>
      <c r="I82" s="111">
        <v>25</v>
      </c>
      <c r="J82" s="48" t="str">
        <f t="shared" si="14"/>
        <v>CLU058-1825C4</v>
      </c>
      <c r="K82" s="112">
        <v>53.578763933908469</v>
      </c>
      <c r="L82" s="105">
        <f>L65/$K65</f>
        <v>0</v>
      </c>
      <c r="M82" s="105">
        <f>M65/$K65</f>
        <v>0</v>
      </c>
      <c r="N82" s="105">
        <f t="shared" ref="N82:AF82" si="34">N65/$K65</f>
        <v>0</v>
      </c>
      <c r="O82" s="105">
        <f t="shared" si="34"/>
        <v>0</v>
      </c>
      <c r="P82" s="105">
        <f t="shared" si="34"/>
        <v>0</v>
      </c>
      <c r="Q82" s="105">
        <f t="shared" si="34"/>
        <v>0</v>
      </c>
      <c r="R82" s="105">
        <f t="shared" si="34"/>
        <v>0</v>
      </c>
      <c r="S82" s="105">
        <f t="shared" si="34"/>
        <v>0</v>
      </c>
      <c r="T82" s="105">
        <f t="shared" si="34"/>
        <v>0</v>
      </c>
      <c r="U82" s="105">
        <f t="shared" si="34"/>
        <v>0</v>
      </c>
      <c r="V82" s="105">
        <f t="shared" si="34"/>
        <v>0</v>
      </c>
      <c r="W82" s="105">
        <f t="shared" si="34"/>
        <v>0</v>
      </c>
      <c r="X82" s="105">
        <f t="shared" si="34"/>
        <v>0</v>
      </c>
      <c r="Y82" s="105">
        <f t="shared" si="34"/>
        <v>0</v>
      </c>
      <c r="Z82" s="105">
        <f t="shared" si="34"/>
        <v>0</v>
      </c>
      <c r="AA82" s="105">
        <f t="shared" si="34"/>
        <v>0</v>
      </c>
      <c r="AB82" s="105">
        <f t="shared" si="34"/>
        <v>0</v>
      </c>
      <c r="AC82" s="105">
        <f t="shared" si="34"/>
        <v>0</v>
      </c>
      <c r="AD82" s="105">
        <f t="shared" si="34"/>
        <v>0</v>
      </c>
      <c r="AE82" s="105">
        <f t="shared" si="34"/>
        <v>0</v>
      </c>
      <c r="AF82" s="105">
        <f t="shared" si="34"/>
        <v>0</v>
      </c>
    </row>
    <row r="83" spans="1:32" ht="14.25" hidden="1">
      <c r="A83" s="48"/>
      <c r="B83" s="48"/>
      <c r="C83" s="31"/>
      <c r="G83" s="48">
        <f t="shared" ref="G83" si="35">H83*I83</f>
        <v>648</v>
      </c>
      <c r="H83" s="111">
        <v>36</v>
      </c>
      <c r="I83" s="111">
        <v>18</v>
      </c>
      <c r="J83" s="48" t="str">
        <f t="shared" si="14"/>
        <v>CLU058-3618C4</v>
      </c>
      <c r="K83" s="112">
        <v>107.1279910355653</v>
      </c>
      <c r="L83" s="105">
        <f t="shared" ref="L83" si="36">L66/$K66</f>
        <v>0</v>
      </c>
      <c r="M83" s="105">
        <f t="shared" ref="M83:AF83" si="37">M66/$K66</f>
        <v>0</v>
      </c>
      <c r="N83" s="105">
        <f t="shared" si="37"/>
        <v>0</v>
      </c>
      <c r="O83" s="105">
        <f t="shared" si="37"/>
        <v>0</v>
      </c>
      <c r="P83" s="105">
        <f t="shared" si="37"/>
        <v>0</v>
      </c>
      <c r="Q83" s="105">
        <f t="shared" si="37"/>
        <v>0</v>
      </c>
      <c r="R83" s="105">
        <f t="shared" si="37"/>
        <v>0</v>
      </c>
      <c r="S83" s="105">
        <f t="shared" si="37"/>
        <v>0</v>
      </c>
      <c r="T83" s="105">
        <f t="shared" si="37"/>
        <v>0</v>
      </c>
      <c r="U83" s="105">
        <f t="shared" si="37"/>
        <v>0</v>
      </c>
      <c r="V83" s="105">
        <f t="shared" si="37"/>
        <v>0</v>
      </c>
      <c r="W83" s="105">
        <f t="shared" si="37"/>
        <v>0</v>
      </c>
      <c r="X83" s="105">
        <f t="shared" si="37"/>
        <v>0</v>
      </c>
      <c r="Y83" s="105">
        <f t="shared" si="37"/>
        <v>0</v>
      </c>
      <c r="Z83" s="105">
        <f t="shared" si="37"/>
        <v>0</v>
      </c>
      <c r="AA83" s="105">
        <f t="shared" si="37"/>
        <v>0</v>
      </c>
      <c r="AB83" s="105">
        <f t="shared" si="37"/>
        <v>0</v>
      </c>
      <c r="AC83" s="105">
        <f t="shared" si="37"/>
        <v>0</v>
      </c>
      <c r="AD83" s="105">
        <f t="shared" si="37"/>
        <v>0</v>
      </c>
      <c r="AE83" s="105">
        <f t="shared" si="37"/>
        <v>0</v>
      </c>
      <c r="AF83" s="105">
        <f t="shared" si="37"/>
        <v>0</v>
      </c>
    </row>
    <row r="84" spans="1:32" ht="14.25" hidden="1"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32" ht="14.25" hidden="1">
      <c r="G85" s="48"/>
      <c r="H85" s="48"/>
      <c r="I85" s="48"/>
      <c r="J85" s="48"/>
      <c r="K85" s="48"/>
      <c r="L85" s="48"/>
      <c r="M85" s="48"/>
      <c r="N85" s="48"/>
      <c r="O85" s="48"/>
      <c r="P85" s="66">
        <v>0.92</v>
      </c>
      <c r="Q85" s="66">
        <v>1.08</v>
      </c>
      <c r="R85" s="48"/>
      <c r="S85" s="48"/>
      <c r="T85" s="48"/>
      <c r="U85" s="48"/>
      <c r="V85" s="48"/>
      <c r="W85" s="48"/>
    </row>
    <row r="86" spans="1:32" ht="15" hidden="1">
      <c r="A86" s="48"/>
      <c r="B86" s="66"/>
      <c r="C86" s="73"/>
      <c r="G86" s="48"/>
      <c r="H86" s="48" t="s">
        <v>47</v>
      </c>
      <c r="I86" s="48"/>
      <c r="J86" s="48"/>
      <c r="K86" s="62" t="str">
        <f>HLOOKUP(Simulator!$C$6,Calculation!L$68:AF$83,2,FALSE)</f>
        <v>5000K,Brilliant</v>
      </c>
      <c r="L86" s="62" t="s">
        <v>48</v>
      </c>
      <c r="M86" s="62" t="s">
        <v>49</v>
      </c>
      <c r="N86" s="75" t="s">
        <v>50</v>
      </c>
      <c r="O86" s="62" t="s">
        <v>70</v>
      </c>
      <c r="P86" s="117" t="s">
        <v>67</v>
      </c>
      <c r="Q86" s="117" t="s">
        <v>69</v>
      </c>
      <c r="R86" s="76" t="s">
        <v>51</v>
      </c>
      <c r="S86" s="75" t="s">
        <v>28</v>
      </c>
      <c r="T86" s="75"/>
      <c r="U86" s="75" t="s">
        <v>22</v>
      </c>
      <c r="V86" s="62" t="s">
        <v>52</v>
      </c>
      <c r="W86" s="62" t="s">
        <v>125</v>
      </c>
      <c r="X86" s="75" t="s">
        <v>53</v>
      </c>
      <c r="Y86" s="48"/>
    </row>
    <row r="87" spans="1:32" ht="15" hidden="1">
      <c r="A87" s="48"/>
      <c r="B87" s="66"/>
      <c r="C87" s="73"/>
      <c r="G87" s="48"/>
      <c r="H87" s="55">
        <f t="shared" ref="H87:H100" si="38">K87/G70</f>
        <v>0</v>
      </c>
      <c r="I87" s="48"/>
      <c r="J87" s="48" t="str">
        <f t="shared" ref="J87:J100" si="39">J70</f>
        <v>CLU028-1201C4</v>
      </c>
      <c r="K87" s="54">
        <f>HLOOKUP(Simulator!$C$6,Calculation!L$68:AF$83,3,FALSE)</f>
        <v>0</v>
      </c>
      <c r="L87" s="71" t="e">
        <f t="shared" ref="L87:L100" si="40">E$80/K87</f>
        <v>#DIV/0!</v>
      </c>
      <c r="M87" s="55" t="e">
        <f>C$69*$L87^3+C$70*$L87^2+C$71*$L87+C$72</f>
        <v>#DIV/0!</v>
      </c>
      <c r="N87" s="77" t="e">
        <f t="shared" ref="N87:N100" si="41">M87*I70</f>
        <v>#DIV/0!</v>
      </c>
      <c r="O87" s="78" t="e">
        <f t="shared" ref="O87:O100" si="42">(D$69*$M87^2+D$70*$M87+D$71)*K70</f>
        <v>#DIV/0!</v>
      </c>
      <c r="P87" s="118" t="e">
        <f>O87*$P$85</f>
        <v>#DIV/0!</v>
      </c>
      <c r="Q87" s="118" t="e">
        <f>O87*$Q$85</f>
        <v>#DIV/0!</v>
      </c>
      <c r="R87" s="79" t="e">
        <f t="shared" ref="R87:R100" si="43" xml:space="preserve"> (F$69*$E$78^2+F$70*$E$78+F$71)*O87</f>
        <v>#DIV/0!</v>
      </c>
      <c r="S87" s="80" t="e">
        <f>N87*R87/1000</f>
        <v>#DIV/0!</v>
      </c>
      <c r="T87" s="80"/>
      <c r="U87" s="80" t="e">
        <f>E$76/S87</f>
        <v>#DIV/0!</v>
      </c>
      <c r="V87" s="111">
        <v>2.73</v>
      </c>
      <c r="W87" s="55" t="e">
        <f>S87*V87</f>
        <v>#DIV/0!</v>
      </c>
      <c r="X87" s="80" t="b">
        <f t="shared" ref="X87:X100" si="44">IFERROR(E$78+W87,FALSE)</f>
        <v>0</v>
      </c>
      <c r="Y87" s="48"/>
    </row>
    <row r="88" spans="1:32" ht="15" hidden="1">
      <c r="A88" s="57"/>
      <c r="B88" s="57"/>
      <c r="C88" s="57"/>
      <c r="D88" s="62"/>
      <c r="E88" s="62"/>
      <c r="F88" s="62"/>
      <c r="H88" s="55">
        <f t="shared" si="38"/>
        <v>0</v>
      </c>
      <c r="I88" s="48"/>
      <c r="J88" s="48" t="str">
        <f t="shared" si="39"/>
        <v>CLU028-1202C4</v>
      </c>
      <c r="K88" s="54">
        <f>HLOOKUP(Simulator!$C$6,Calculation!L$68:AF$83,4,FALSE)</f>
        <v>0</v>
      </c>
      <c r="L88" s="71" t="e">
        <f t="shared" si="40"/>
        <v>#DIV/0!</v>
      </c>
      <c r="M88" s="55" t="e">
        <f t="shared" ref="M88:M100" si="45">C$69*$L88^3+C$70*$L88^2+C$71*$L88+C$72</f>
        <v>#DIV/0!</v>
      </c>
      <c r="N88" s="77" t="e">
        <f t="shared" si="41"/>
        <v>#DIV/0!</v>
      </c>
      <c r="O88" s="78" t="e">
        <f t="shared" si="42"/>
        <v>#DIV/0!</v>
      </c>
      <c r="P88" s="118" t="e">
        <f t="shared" ref="P88:P100" si="46">O88*$P$85</f>
        <v>#DIV/0!</v>
      </c>
      <c r="Q88" s="118" t="e">
        <f t="shared" ref="Q88:Q100" si="47">O88*$Q$85</f>
        <v>#DIV/0!</v>
      </c>
      <c r="R88" s="79" t="e">
        <f t="shared" si="43"/>
        <v>#DIV/0!</v>
      </c>
      <c r="S88" s="80" t="e">
        <f t="shared" ref="S88:S99" si="48">N88*R88/1000</f>
        <v>#DIV/0!</v>
      </c>
      <c r="T88" s="80"/>
      <c r="U88" s="80" t="e">
        <f t="shared" ref="U88:U100" si="49">E$76/S88</f>
        <v>#DIV/0!</v>
      </c>
      <c r="V88" s="111">
        <v>1.56</v>
      </c>
      <c r="W88" s="55" t="e">
        <f>S88*V88</f>
        <v>#DIV/0!</v>
      </c>
      <c r="X88" s="80" t="b">
        <f t="shared" si="44"/>
        <v>0</v>
      </c>
      <c r="Y88" s="48"/>
    </row>
    <row r="89" spans="1:32" ht="15" hidden="1">
      <c r="A89" s="62"/>
      <c r="B89" s="81"/>
      <c r="C89" s="81"/>
      <c r="D89" s="81"/>
      <c r="E89" s="81"/>
      <c r="F89" s="81"/>
      <c r="H89" s="55">
        <f t="shared" si="38"/>
        <v>0</v>
      </c>
      <c r="I89" s="48"/>
      <c r="J89" s="48" t="str">
        <f t="shared" si="39"/>
        <v>CLU028-1203C4</v>
      </c>
      <c r="K89" s="54">
        <f>HLOOKUP(Simulator!$C$6,Calculation!L$68:AF$83,5,FALSE)</f>
        <v>0</v>
      </c>
      <c r="L89" s="71" t="e">
        <f t="shared" si="40"/>
        <v>#DIV/0!</v>
      </c>
      <c r="M89" s="55" t="e">
        <f t="shared" si="45"/>
        <v>#DIV/0!</v>
      </c>
      <c r="N89" s="77" t="e">
        <f t="shared" si="41"/>
        <v>#DIV/0!</v>
      </c>
      <c r="O89" s="78" t="e">
        <f t="shared" si="42"/>
        <v>#DIV/0!</v>
      </c>
      <c r="P89" s="118" t="e">
        <f t="shared" si="46"/>
        <v>#DIV/0!</v>
      </c>
      <c r="Q89" s="118" t="e">
        <f t="shared" si="47"/>
        <v>#DIV/0!</v>
      </c>
      <c r="R89" s="79" t="e">
        <f t="shared" si="43"/>
        <v>#DIV/0!</v>
      </c>
      <c r="S89" s="80" t="e">
        <f t="shared" si="48"/>
        <v>#DIV/0!</v>
      </c>
      <c r="T89" s="80"/>
      <c r="U89" s="80" t="e">
        <f t="shared" si="49"/>
        <v>#DIV/0!</v>
      </c>
      <c r="V89" s="111">
        <v>1.1100000000000001</v>
      </c>
      <c r="W89" s="55" t="e">
        <f t="shared" ref="W89:W98" si="50">S89*V89</f>
        <v>#DIV/0!</v>
      </c>
      <c r="X89" s="80" t="b">
        <f t="shared" si="44"/>
        <v>0</v>
      </c>
      <c r="Y89" s="48"/>
    </row>
    <row r="90" spans="1:32" ht="15" hidden="1">
      <c r="A90" s="62"/>
      <c r="B90" s="81"/>
      <c r="C90" s="81"/>
      <c r="D90" s="81"/>
      <c r="E90" s="81"/>
      <c r="F90" s="81"/>
      <c r="H90" s="55">
        <f t="shared" si="38"/>
        <v>27.043973833451162</v>
      </c>
      <c r="I90" s="48"/>
      <c r="J90" s="48" t="str">
        <f t="shared" si="39"/>
        <v>CLU028-1204C4</v>
      </c>
      <c r="K90" s="54">
        <f>HLOOKUP(Simulator!$C$6,Calculation!L$68:AF$83,6,FALSE)</f>
        <v>1298.1107440056558</v>
      </c>
      <c r="L90" s="71">
        <f t="shared" si="40"/>
        <v>6.9331526926186951E-2</v>
      </c>
      <c r="M90" s="55">
        <f t="shared" si="45"/>
        <v>5.7779529106492031</v>
      </c>
      <c r="N90" s="77">
        <f t="shared" si="41"/>
        <v>23.111811642596813</v>
      </c>
      <c r="O90" s="78">
        <f t="shared" si="42"/>
        <v>32.262715310792977</v>
      </c>
      <c r="P90" s="118">
        <f t="shared" si="46"/>
        <v>29.68169808592954</v>
      </c>
      <c r="Q90" s="118">
        <f t="shared" si="47"/>
        <v>34.843732535656414</v>
      </c>
      <c r="R90" s="79">
        <f t="shared" si="43"/>
        <v>32.26271531012712</v>
      </c>
      <c r="S90" s="80">
        <f t="shared" si="48"/>
        <v>0.74564979932638242</v>
      </c>
      <c r="T90" s="80"/>
      <c r="U90" s="80">
        <f t="shared" si="49"/>
        <v>120.70009283353352</v>
      </c>
      <c r="V90" s="111">
        <v>0.91</v>
      </c>
      <c r="W90" s="55">
        <f t="shared" si="50"/>
        <v>0.67854131738700807</v>
      </c>
      <c r="X90" s="80">
        <f t="shared" si="44"/>
        <v>25.678541317387008</v>
      </c>
      <c r="Y90" s="48"/>
    </row>
    <row r="91" spans="1:32" ht="15" hidden="1">
      <c r="A91" s="62"/>
      <c r="B91" s="81"/>
      <c r="C91" s="81"/>
      <c r="D91" s="81"/>
      <c r="E91" s="81"/>
      <c r="F91" s="81"/>
      <c r="H91" s="55">
        <f t="shared" si="38"/>
        <v>0</v>
      </c>
      <c r="I91" s="48"/>
      <c r="J91" s="48" t="str">
        <f t="shared" si="39"/>
        <v>CLU038-1205C4</v>
      </c>
      <c r="K91" s="54">
        <f>HLOOKUP(Simulator!$C$6,Calculation!L$68:AF$83,7,FALSE)</f>
        <v>0</v>
      </c>
      <c r="L91" s="71" t="e">
        <f t="shared" si="40"/>
        <v>#DIV/0!</v>
      </c>
      <c r="M91" s="55" t="e">
        <f t="shared" si="45"/>
        <v>#DIV/0!</v>
      </c>
      <c r="N91" s="77" t="e">
        <f t="shared" si="41"/>
        <v>#DIV/0!</v>
      </c>
      <c r="O91" s="78" t="e">
        <f t="shared" si="42"/>
        <v>#DIV/0!</v>
      </c>
      <c r="P91" s="118" t="e">
        <f t="shared" si="46"/>
        <v>#DIV/0!</v>
      </c>
      <c r="Q91" s="118" t="e">
        <f t="shared" si="47"/>
        <v>#DIV/0!</v>
      </c>
      <c r="R91" s="79" t="e">
        <f t="shared" si="43"/>
        <v>#DIV/0!</v>
      </c>
      <c r="S91" s="80" t="e">
        <f t="shared" si="48"/>
        <v>#DIV/0!</v>
      </c>
      <c r="T91" s="80"/>
      <c r="U91" s="80" t="e">
        <f t="shared" si="49"/>
        <v>#DIV/0!</v>
      </c>
      <c r="V91" s="111">
        <v>0.72</v>
      </c>
      <c r="W91" s="55" t="e">
        <f t="shared" si="50"/>
        <v>#DIV/0!</v>
      </c>
      <c r="X91" s="80" t="b">
        <f t="shared" si="44"/>
        <v>0</v>
      </c>
      <c r="Y91" s="48"/>
    </row>
    <row r="92" spans="1:32" ht="15" hidden="1">
      <c r="A92" s="62"/>
      <c r="B92" s="81"/>
      <c r="C92" s="81"/>
      <c r="D92" s="48"/>
      <c r="E92" s="48"/>
      <c r="H92" s="55">
        <f t="shared" si="38"/>
        <v>27.942681253360316</v>
      </c>
      <c r="I92" s="48"/>
      <c r="J92" s="48" t="str">
        <f t="shared" si="39"/>
        <v>CLU038-1206C4</v>
      </c>
      <c r="K92" s="54">
        <f>HLOOKUP(Simulator!$C$6,Calculation!L$68:AF$83,8,FALSE)</f>
        <v>2011.8730502419428</v>
      </c>
      <c r="L92" s="71">
        <f t="shared" si="40"/>
        <v>4.4734432915823158E-2</v>
      </c>
      <c r="M92" s="55">
        <f t="shared" si="45"/>
        <v>3.760583307026808</v>
      </c>
      <c r="N92" s="77">
        <f t="shared" si="41"/>
        <v>22.563499842160848</v>
      </c>
      <c r="O92" s="78">
        <f t="shared" si="42"/>
        <v>32.155600869352881</v>
      </c>
      <c r="P92" s="118">
        <f t="shared" si="46"/>
        <v>29.583152799804651</v>
      </c>
      <c r="Q92" s="118">
        <f t="shared" si="47"/>
        <v>34.728048938901111</v>
      </c>
      <c r="R92" s="79">
        <f t="shared" si="43"/>
        <v>32.155600868689234</v>
      </c>
      <c r="S92" s="80">
        <f t="shared" si="48"/>
        <v>0.72554289512525683</v>
      </c>
      <c r="T92" s="80"/>
      <c r="U92" s="80">
        <f t="shared" si="49"/>
        <v>124.04504351801627</v>
      </c>
      <c r="V92" s="111">
        <v>0.64</v>
      </c>
      <c r="W92" s="55">
        <f t="shared" si="50"/>
        <v>0.46434745288016438</v>
      </c>
      <c r="X92" s="80">
        <f t="shared" si="44"/>
        <v>25.464347452880165</v>
      </c>
      <c r="Y92" s="48"/>
    </row>
    <row r="93" spans="1:32" ht="15" hidden="1">
      <c r="A93" s="48"/>
      <c r="B93" s="82"/>
      <c r="C93" s="82"/>
      <c r="D93" s="48"/>
      <c r="E93" s="48"/>
      <c r="H93" s="55">
        <f t="shared" si="38"/>
        <v>27.344234492651882</v>
      </c>
      <c r="I93" s="48"/>
      <c r="J93" s="48" t="str">
        <f t="shared" si="39"/>
        <v>CLU038-1208C4</v>
      </c>
      <c r="K93" s="54">
        <f>HLOOKUP(Simulator!$C$6,Calculation!L$68:AF$83,9,FALSE)</f>
        <v>2625.0465112945808</v>
      </c>
      <c r="L93" s="71">
        <f t="shared" si="40"/>
        <v>3.4285106802475609E-2</v>
      </c>
      <c r="M93" s="55">
        <f t="shared" si="45"/>
        <v>2.9067398712871819</v>
      </c>
      <c r="N93" s="77">
        <f t="shared" si="41"/>
        <v>23.253918970297455</v>
      </c>
      <c r="O93" s="78">
        <f t="shared" si="42"/>
        <v>32.101292140973598</v>
      </c>
      <c r="P93" s="118">
        <f t="shared" si="46"/>
        <v>29.533188769695712</v>
      </c>
      <c r="Q93" s="118">
        <f t="shared" si="47"/>
        <v>34.669395512251491</v>
      </c>
      <c r="R93" s="79">
        <f t="shared" si="43"/>
        <v>32.101292140311074</v>
      </c>
      <c r="S93" s="80">
        <f t="shared" si="48"/>
        <v>0.74648084627264033</v>
      </c>
      <c r="T93" s="80"/>
      <c r="U93" s="80">
        <f t="shared" si="49"/>
        <v>120.56571906619145</v>
      </c>
      <c r="V93" s="111">
        <v>0.51</v>
      </c>
      <c r="W93" s="55">
        <f t="shared" si="50"/>
        <v>0.38070523159904657</v>
      </c>
      <c r="X93" s="80">
        <f t="shared" si="44"/>
        <v>25.380705231599048</v>
      </c>
      <c r="Y93" s="48"/>
    </row>
    <row r="94" spans="1:32" ht="15" hidden="1">
      <c r="A94" s="48"/>
      <c r="B94" s="83"/>
      <c r="C94" s="84"/>
      <c r="D94" s="48"/>
      <c r="E94" s="85"/>
      <c r="H94" s="55">
        <f t="shared" si="38"/>
        <v>0</v>
      </c>
      <c r="I94" s="48"/>
      <c r="J94" s="48" t="str">
        <f t="shared" si="39"/>
        <v>CLU038-1210C4</v>
      </c>
      <c r="K94" s="54">
        <f>HLOOKUP(Simulator!$C$6,Calculation!L$68:AF$83,10,FALSE)</f>
        <v>0</v>
      </c>
      <c r="L94" s="71" t="e">
        <f t="shared" si="40"/>
        <v>#DIV/0!</v>
      </c>
      <c r="M94" s="55" t="e">
        <f t="shared" si="45"/>
        <v>#DIV/0!</v>
      </c>
      <c r="N94" s="77" t="e">
        <f t="shared" si="41"/>
        <v>#DIV/0!</v>
      </c>
      <c r="O94" s="78" t="e">
        <f t="shared" si="42"/>
        <v>#DIV/0!</v>
      </c>
      <c r="P94" s="118" t="e">
        <f t="shared" si="46"/>
        <v>#DIV/0!</v>
      </c>
      <c r="Q94" s="118" t="e">
        <f t="shared" si="47"/>
        <v>#DIV/0!</v>
      </c>
      <c r="R94" s="79" t="e">
        <f t="shared" si="43"/>
        <v>#DIV/0!</v>
      </c>
      <c r="S94" s="80" t="e">
        <f t="shared" si="48"/>
        <v>#DIV/0!</v>
      </c>
      <c r="T94" s="80"/>
      <c r="U94" s="80" t="e">
        <f t="shared" si="49"/>
        <v>#DIV/0!</v>
      </c>
      <c r="V94" s="111">
        <v>0.42</v>
      </c>
      <c r="W94" s="55" t="e">
        <f t="shared" si="50"/>
        <v>#DIV/0!</v>
      </c>
      <c r="X94" s="80" t="b">
        <f t="shared" si="44"/>
        <v>0</v>
      </c>
      <c r="Y94" s="48"/>
    </row>
    <row r="95" spans="1:32" ht="15" hidden="1">
      <c r="A95" s="48"/>
      <c r="B95" s="48"/>
      <c r="C95" s="48"/>
      <c r="D95" s="48"/>
      <c r="E95" s="48"/>
      <c r="H95" s="55">
        <f t="shared" si="38"/>
        <v>0</v>
      </c>
      <c r="I95" s="48"/>
      <c r="J95" s="48" t="str">
        <f t="shared" si="39"/>
        <v>CLU048-1211C4</v>
      </c>
      <c r="K95" s="130">
        <f>HLOOKUP(Simulator!$C$6,Calculation!L$68:AF$83,11,FALSE)</f>
        <v>0</v>
      </c>
      <c r="L95" s="71" t="e">
        <f>E$80/K95</f>
        <v>#DIV/0!</v>
      </c>
      <c r="M95" s="55" t="e">
        <f>C$69*$L95^3+C$70*$L95^2+C$71*$L95+C$72</f>
        <v>#DIV/0!</v>
      </c>
      <c r="N95" s="77" t="e">
        <f>M95*I78</f>
        <v>#DIV/0!</v>
      </c>
      <c r="O95" s="78" t="e">
        <f>(D$69*$M95^2+D$70*$M95+D$71)*K78</f>
        <v>#DIV/0!</v>
      </c>
      <c r="P95" s="118" t="e">
        <f t="shared" ref="P95" si="51">O95*$P$85</f>
        <v>#DIV/0!</v>
      </c>
      <c r="Q95" s="118" t="e">
        <f t="shared" ref="Q95" si="52">O95*$Q$85</f>
        <v>#DIV/0!</v>
      </c>
      <c r="R95" s="79" t="e">
        <f xml:space="preserve"> (F$69*$E$78^2+F$70*$E$78+F$71)*O95</f>
        <v>#DIV/0!</v>
      </c>
      <c r="S95" s="129" t="e">
        <f>N95*R95/1000</f>
        <v>#DIV/0!</v>
      </c>
      <c r="T95" s="80"/>
      <c r="U95" s="80" t="e">
        <f t="shared" ref="U95" si="53">E$76/S95</f>
        <v>#DIV/0!</v>
      </c>
      <c r="V95" s="111">
        <v>0.38</v>
      </c>
      <c r="W95" s="55" t="e">
        <f t="shared" ref="W95" si="54">S95*V95</f>
        <v>#DIV/0!</v>
      </c>
      <c r="X95" s="80" t="b">
        <f t="shared" si="44"/>
        <v>0</v>
      </c>
      <c r="Y95" s="48"/>
    </row>
    <row r="96" spans="1:32" ht="15" hidden="1">
      <c r="A96" s="48"/>
      <c r="B96" s="48"/>
      <c r="C96" s="48"/>
      <c r="D96" s="48"/>
      <c r="E96" s="48"/>
      <c r="H96" s="55">
        <f t="shared" si="38"/>
        <v>28.258757385382712</v>
      </c>
      <c r="I96" s="48"/>
      <c r="J96" s="48" t="str">
        <f t="shared" si="39"/>
        <v>CLU048-1212C4</v>
      </c>
      <c r="K96" s="54">
        <f>HLOOKUP(Simulator!$C$6,Calculation!L$68:AF$83,12,FALSE)</f>
        <v>4069.2610634951106</v>
      </c>
      <c r="L96" s="71">
        <f t="shared" si="40"/>
        <v>2.2117037613678982E-2</v>
      </c>
      <c r="M96" s="55">
        <f t="shared" si="45"/>
        <v>1.9148361471078461</v>
      </c>
      <c r="N96" s="77">
        <f t="shared" si="41"/>
        <v>22.978033765294153</v>
      </c>
      <c r="O96" s="78">
        <f t="shared" si="42"/>
        <v>32.053932049500098</v>
      </c>
      <c r="P96" s="118">
        <f t="shared" si="46"/>
        <v>29.489617485540091</v>
      </c>
      <c r="Q96" s="118">
        <f t="shared" si="47"/>
        <v>34.618246613460109</v>
      </c>
      <c r="R96" s="79">
        <f t="shared" si="43"/>
        <v>32.053932048838547</v>
      </c>
      <c r="S96" s="80">
        <f t="shared" si="48"/>
        <v>0.7365363329286565</v>
      </c>
      <c r="T96" s="80"/>
      <c r="U96" s="80">
        <f t="shared" si="49"/>
        <v>122.1935646299172</v>
      </c>
      <c r="V96" s="111">
        <v>0.34</v>
      </c>
      <c r="W96" s="55">
        <f t="shared" si="50"/>
        <v>0.25042235319574324</v>
      </c>
      <c r="X96" s="80">
        <f t="shared" si="44"/>
        <v>25.250422353195745</v>
      </c>
      <c r="Y96" s="48"/>
    </row>
    <row r="97" spans="1:25" ht="15" hidden="1">
      <c r="A97" s="48"/>
      <c r="B97" s="48"/>
      <c r="C97" s="48"/>
      <c r="D97" s="48"/>
      <c r="E97" s="70"/>
      <c r="H97" s="55">
        <f t="shared" si="38"/>
        <v>27.502976073824023</v>
      </c>
      <c r="I97" s="48"/>
      <c r="J97" s="48" t="str">
        <f t="shared" si="39"/>
        <v>CLU048-1812C4</v>
      </c>
      <c r="K97" s="54">
        <f>HLOOKUP(Simulator!$C$6,Calculation!L$68:AF$83,13,FALSE)</f>
        <v>5940.6428319459892</v>
      </c>
      <c r="L97" s="71">
        <f t="shared" si="40"/>
        <v>1.5149875619053033E-2</v>
      </c>
      <c r="M97" s="55">
        <f t="shared" si="45"/>
        <v>1.3480479833353978</v>
      </c>
      <c r="N97" s="77">
        <f t="shared" si="41"/>
        <v>16.176575800024771</v>
      </c>
      <c r="O97" s="78">
        <f t="shared" si="42"/>
        <v>48.004233912793765</v>
      </c>
      <c r="P97" s="118">
        <f t="shared" si="46"/>
        <v>44.163895199770266</v>
      </c>
      <c r="Q97" s="118">
        <f t="shared" si="47"/>
        <v>51.844572625817271</v>
      </c>
      <c r="R97" s="79">
        <f t="shared" si="43"/>
        <v>48.004233911803027</v>
      </c>
      <c r="S97" s="80">
        <f t="shared" si="48"/>
        <v>0.77654412859640132</v>
      </c>
      <c r="T97" s="80"/>
      <c r="U97" s="80">
        <f t="shared" si="49"/>
        <v>115.89811407456578</v>
      </c>
      <c r="V97" s="111">
        <v>0.25</v>
      </c>
      <c r="W97" s="55">
        <f t="shared" si="50"/>
        <v>0.19413603214910033</v>
      </c>
      <c r="X97" s="80">
        <f t="shared" si="44"/>
        <v>25.1941360321491</v>
      </c>
      <c r="Y97" s="48"/>
    </row>
    <row r="98" spans="1:25" ht="15" hidden="1">
      <c r="A98" s="48"/>
      <c r="B98" s="65"/>
      <c r="C98" s="65"/>
      <c r="D98" s="48"/>
      <c r="E98" s="48"/>
      <c r="H98" s="55">
        <f t="shared" si="38"/>
        <v>0</v>
      </c>
      <c r="I98" s="48"/>
      <c r="J98" s="48" t="str">
        <f t="shared" si="39"/>
        <v>CLU048-1818C4</v>
      </c>
      <c r="K98" s="54">
        <f>HLOOKUP(Simulator!$C$6,Calculation!L$68:AF$83,14,FALSE)</f>
        <v>0</v>
      </c>
      <c r="L98" s="71" t="e">
        <f t="shared" si="40"/>
        <v>#DIV/0!</v>
      </c>
      <c r="M98" s="55" t="e">
        <f t="shared" si="45"/>
        <v>#DIV/0!</v>
      </c>
      <c r="N98" s="77" t="e">
        <f t="shared" si="41"/>
        <v>#DIV/0!</v>
      </c>
      <c r="O98" s="78" t="e">
        <f t="shared" si="42"/>
        <v>#DIV/0!</v>
      </c>
      <c r="P98" s="118" t="e">
        <f t="shared" si="46"/>
        <v>#DIV/0!</v>
      </c>
      <c r="Q98" s="118" t="e">
        <f t="shared" si="47"/>
        <v>#DIV/0!</v>
      </c>
      <c r="R98" s="79" t="e">
        <f t="shared" si="43"/>
        <v>#DIV/0!</v>
      </c>
      <c r="S98" s="80" t="e">
        <f t="shared" si="48"/>
        <v>#DIV/0!</v>
      </c>
      <c r="T98" s="80"/>
      <c r="U98" s="80" t="e">
        <f t="shared" si="49"/>
        <v>#DIV/0!</v>
      </c>
      <c r="V98" s="111">
        <v>0.17</v>
      </c>
      <c r="W98" s="55" t="e">
        <f t="shared" si="50"/>
        <v>#DIV/0!</v>
      </c>
      <c r="X98" s="80" t="b">
        <f t="shared" si="44"/>
        <v>0</v>
      </c>
      <c r="Y98" s="48"/>
    </row>
    <row r="99" spans="1:25" ht="15" hidden="1">
      <c r="A99" s="48"/>
      <c r="B99" s="55"/>
      <c r="C99" s="86"/>
      <c r="D99" s="48"/>
      <c r="E99" s="87"/>
      <c r="H99" s="55">
        <f t="shared" si="38"/>
        <v>0</v>
      </c>
      <c r="I99" s="48"/>
      <c r="J99" s="48" t="str">
        <f t="shared" si="39"/>
        <v>CLU058-1825C4</v>
      </c>
      <c r="K99" s="54">
        <f>HLOOKUP(Simulator!$C$6,Calculation!L$68:AF$83,15,FALSE)</f>
        <v>0</v>
      </c>
      <c r="L99" s="71" t="e">
        <f t="shared" si="40"/>
        <v>#DIV/0!</v>
      </c>
      <c r="M99" s="55" t="e">
        <f t="shared" si="45"/>
        <v>#DIV/0!</v>
      </c>
      <c r="N99" s="77" t="e">
        <f t="shared" si="41"/>
        <v>#DIV/0!</v>
      </c>
      <c r="O99" s="78" t="e">
        <f t="shared" si="42"/>
        <v>#DIV/0!</v>
      </c>
      <c r="P99" s="118" t="e">
        <f t="shared" si="46"/>
        <v>#DIV/0!</v>
      </c>
      <c r="Q99" s="118" t="e">
        <f t="shared" si="47"/>
        <v>#DIV/0!</v>
      </c>
      <c r="R99" s="79" t="e">
        <f t="shared" si="43"/>
        <v>#DIV/0!</v>
      </c>
      <c r="S99" s="80" t="e">
        <f t="shared" si="48"/>
        <v>#DIV/0!</v>
      </c>
      <c r="T99" s="80"/>
      <c r="U99" s="80" t="e">
        <f t="shared" si="49"/>
        <v>#DIV/0!</v>
      </c>
      <c r="V99" s="111">
        <v>0.14000000000000001</v>
      </c>
      <c r="W99" s="55" t="e">
        <f>S99*V99</f>
        <v>#DIV/0!</v>
      </c>
      <c r="X99" s="80" t="b">
        <f t="shared" si="44"/>
        <v>0</v>
      </c>
      <c r="Y99" s="48"/>
    </row>
    <row r="100" spans="1:25" ht="15" hidden="1">
      <c r="A100" s="48"/>
      <c r="B100" s="66"/>
      <c r="C100" s="73"/>
      <c r="D100" s="48"/>
      <c r="E100" s="48"/>
      <c r="F100" s="48"/>
      <c r="G100" s="48"/>
      <c r="H100" s="55">
        <f t="shared" si="38"/>
        <v>0</v>
      </c>
      <c r="I100" s="48"/>
      <c r="J100" s="48" t="str">
        <f t="shared" si="39"/>
        <v>CLU058-3618C4</v>
      </c>
      <c r="K100" s="54">
        <f>HLOOKUP(Simulator!$C$6,Calculation!L$68:AF$83,16,FALSE)</f>
        <v>0</v>
      </c>
      <c r="L100" s="71" t="e">
        <f t="shared" si="40"/>
        <v>#DIV/0!</v>
      </c>
      <c r="M100" s="55" t="e">
        <f t="shared" si="45"/>
        <v>#DIV/0!</v>
      </c>
      <c r="N100" s="77" t="e">
        <f t="shared" si="41"/>
        <v>#DIV/0!</v>
      </c>
      <c r="O100" s="78" t="e">
        <f t="shared" si="42"/>
        <v>#DIV/0!</v>
      </c>
      <c r="P100" s="118" t="e">
        <f t="shared" si="46"/>
        <v>#DIV/0!</v>
      </c>
      <c r="Q100" s="118" t="e">
        <f t="shared" si="47"/>
        <v>#DIV/0!</v>
      </c>
      <c r="R100" s="79" t="e">
        <f t="shared" si="43"/>
        <v>#DIV/0!</v>
      </c>
      <c r="S100" s="80" t="e">
        <f t="shared" ref="S100" si="55">N100*R100/1000</f>
        <v>#DIV/0!</v>
      </c>
      <c r="T100" s="80"/>
      <c r="U100" s="80" t="e">
        <f t="shared" si="49"/>
        <v>#DIV/0!</v>
      </c>
      <c r="V100" s="111">
        <v>0.1</v>
      </c>
      <c r="W100" s="55" t="e">
        <f>S100*V100</f>
        <v>#DIV/0!</v>
      </c>
      <c r="X100" s="80" t="b">
        <f t="shared" si="44"/>
        <v>0</v>
      </c>
    </row>
    <row r="101" spans="1:25" ht="15" hidden="1">
      <c r="A101" s="48"/>
      <c r="B101" s="66"/>
      <c r="C101" s="73"/>
      <c r="D101" s="74"/>
      <c r="E101" s="88"/>
      <c r="F101" s="48"/>
      <c r="G101" s="48"/>
      <c r="H101" s="48"/>
      <c r="I101" s="48"/>
      <c r="J101" s="48"/>
      <c r="K101" s="48"/>
      <c r="L101" s="48"/>
      <c r="M101" s="48"/>
      <c r="N101" s="48"/>
      <c r="O101" s="78"/>
      <c r="P101" s="75"/>
      <c r="Q101" s="53"/>
      <c r="R101" s="53"/>
      <c r="S101" s="53"/>
      <c r="T101" s="53"/>
      <c r="U101" s="48"/>
      <c r="V101" s="48"/>
      <c r="W101" s="48"/>
    </row>
    <row r="102" spans="1:25" ht="15" hidden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78"/>
      <c r="P102" s="75" t="s">
        <v>60</v>
      </c>
      <c r="Q102" s="75" t="s">
        <v>5</v>
      </c>
      <c r="R102" s="75"/>
      <c r="S102" s="75"/>
      <c r="T102" s="75"/>
      <c r="U102" s="48"/>
      <c r="V102" s="48"/>
      <c r="W102" s="48"/>
    </row>
    <row r="103" spans="1:25" ht="15" hidden="1">
      <c r="A103" s="48"/>
      <c r="C103" s="89"/>
      <c r="D103" s="89"/>
      <c r="E103" s="89"/>
      <c r="F103" s="89"/>
      <c r="G103" s="48"/>
      <c r="H103" s="48"/>
      <c r="I103" s="48"/>
      <c r="J103" s="48"/>
      <c r="K103" s="55"/>
      <c r="L103" s="55"/>
      <c r="M103" s="55"/>
      <c r="N103" s="48"/>
      <c r="O103" s="78"/>
      <c r="P103" s="53"/>
      <c r="Q103" s="90">
        <f>C52</f>
        <v>5</v>
      </c>
      <c r="R103" s="90"/>
      <c r="S103" s="53"/>
      <c r="T103" s="53"/>
      <c r="U103" s="48"/>
      <c r="V103" s="48"/>
      <c r="W103" s="48"/>
    </row>
    <row r="104" spans="1:25" ht="15" hidden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55"/>
      <c r="L104" s="55"/>
      <c r="M104" s="55"/>
      <c r="N104" s="48"/>
      <c r="O104" s="78"/>
      <c r="P104" s="53"/>
      <c r="Q104" s="53"/>
      <c r="R104" s="53"/>
      <c r="S104" s="53"/>
      <c r="T104" s="53"/>
      <c r="U104" s="48"/>
      <c r="V104" s="48"/>
      <c r="W104" s="48"/>
    </row>
    <row r="105" spans="1:25" ht="15" hidden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55"/>
      <c r="L105" s="55"/>
      <c r="M105" s="55"/>
      <c r="N105" s="48"/>
      <c r="O105" s="78"/>
      <c r="P105" s="75" t="s">
        <v>61</v>
      </c>
      <c r="Q105" s="75" t="s">
        <v>4</v>
      </c>
      <c r="R105" s="75"/>
      <c r="S105" s="75" t="s">
        <v>5</v>
      </c>
      <c r="T105" s="53"/>
      <c r="U105" s="48"/>
      <c r="V105" s="48"/>
      <c r="W105" s="48"/>
    </row>
    <row r="106" spans="1:25" ht="15" hidden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55"/>
      <c r="L106" s="55"/>
      <c r="M106" s="55"/>
      <c r="N106" s="48"/>
      <c r="O106" s="78"/>
      <c r="P106" s="53"/>
      <c r="Q106" s="53">
        <f>$C$54</f>
        <v>105</v>
      </c>
      <c r="R106" s="53"/>
      <c r="S106" s="53">
        <f>$D$54</f>
        <v>-40</v>
      </c>
      <c r="T106" s="53"/>
      <c r="U106" s="48"/>
      <c r="V106" s="48"/>
      <c r="W106" s="48"/>
    </row>
    <row r="107" spans="1:25" ht="15" hidden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55"/>
      <c r="L107" s="55"/>
      <c r="M107" s="55"/>
      <c r="N107" s="48"/>
      <c r="O107" s="78"/>
      <c r="T107" s="53"/>
      <c r="U107" s="48"/>
      <c r="V107" s="48"/>
      <c r="W107" s="48"/>
    </row>
    <row r="108" spans="1:25" ht="15" hidden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55"/>
      <c r="L108" s="55"/>
      <c r="M108" s="55"/>
      <c r="N108" s="48"/>
      <c r="O108" s="78"/>
      <c r="P108" s="75" t="s">
        <v>7</v>
      </c>
      <c r="Q108" s="75" t="s">
        <v>4</v>
      </c>
      <c r="R108" s="75"/>
      <c r="S108" s="75" t="s">
        <v>5</v>
      </c>
      <c r="T108" s="53"/>
      <c r="U108" s="48"/>
      <c r="V108" s="48"/>
      <c r="W108" s="48"/>
    </row>
    <row r="109" spans="1:25" ht="15" hidden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78"/>
      <c r="P109" s="53"/>
      <c r="Q109" s="53">
        <f>$C$56</f>
        <v>140</v>
      </c>
      <c r="R109" s="53"/>
      <c r="S109" s="53">
        <f>$D$56</f>
        <v>-25</v>
      </c>
      <c r="T109" s="53"/>
      <c r="U109" s="48"/>
      <c r="V109" s="48"/>
      <c r="W109" s="48"/>
    </row>
    <row r="110" spans="1:25" ht="15" hidden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55"/>
      <c r="M110" s="71"/>
      <c r="N110" s="48"/>
      <c r="O110" s="78"/>
      <c r="P110" s="53"/>
      <c r="Q110" s="53"/>
      <c r="R110" s="53"/>
      <c r="S110" s="53"/>
      <c r="T110" s="53"/>
      <c r="U110" s="48"/>
      <c r="V110" s="48"/>
      <c r="W110" s="48"/>
    </row>
    <row r="111" spans="1:25" ht="15" hidden="1">
      <c r="A111" s="48"/>
      <c r="B111" s="48"/>
      <c r="C111" s="48"/>
      <c r="D111" s="48"/>
      <c r="E111" s="48"/>
      <c r="F111" s="48"/>
      <c r="G111" s="48"/>
      <c r="H111" s="48"/>
      <c r="I111" s="48" t="s">
        <v>126</v>
      </c>
      <c r="J111" s="48"/>
      <c r="K111" s="48"/>
      <c r="L111" s="55"/>
      <c r="M111" s="71"/>
      <c r="N111" s="48"/>
      <c r="O111" s="78"/>
      <c r="P111" s="53"/>
      <c r="Q111" s="75" t="s">
        <v>61</v>
      </c>
      <c r="R111" s="75" t="s">
        <v>6</v>
      </c>
      <c r="S111" s="75"/>
      <c r="T111" s="75"/>
      <c r="U111" s="75"/>
      <c r="V111" s="75" t="s">
        <v>7</v>
      </c>
      <c r="W111" s="75" t="s">
        <v>53</v>
      </c>
    </row>
    <row r="112" spans="1:25" ht="15" hidden="1">
      <c r="A112" s="48"/>
      <c r="B112" s="48"/>
      <c r="C112" s="48"/>
      <c r="D112" s="48"/>
      <c r="E112" s="48"/>
      <c r="F112" s="48"/>
      <c r="G112" s="48"/>
      <c r="H112" s="48"/>
      <c r="I112" s="48" t="s">
        <v>127</v>
      </c>
      <c r="J112" s="48" t="s">
        <v>128</v>
      </c>
      <c r="K112" s="48" t="s">
        <v>62</v>
      </c>
      <c r="M112" s="71"/>
      <c r="N112" s="55" t="s">
        <v>63</v>
      </c>
      <c r="O112" s="78"/>
      <c r="P112" s="53"/>
      <c r="Q112" s="75" t="s">
        <v>3</v>
      </c>
      <c r="R112" s="75" t="s">
        <v>33</v>
      </c>
      <c r="S112" s="75"/>
      <c r="T112" s="75" t="s">
        <v>34</v>
      </c>
      <c r="U112" s="75" t="s">
        <v>54</v>
      </c>
      <c r="V112" s="75" t="s">
        <v>3</v>
      </c>
      <c r="W112" s="75" t="s">
        <v>55</v>
      </c>
    </row>
    <row r="113" spans="1:32" ht="15" hidden="1">
      <c r="A113" s="48"/>
      <c r="B113" s="48"/>
      <c r="C113" s="48"/>
      <c r="D113" s="48"/>
      <c r="E113" s="48"/>
      <c r="F113" s="48"/>
      <c r="G113" s="48"/>
      <c r="H113" s="48" t="str">
        <f>B2</f>
        <v>CLU028-1201C4</v>
      </c>
      <c r="I113" s="111" t="e">
        <v>#N/A</v>
      </c>
      <c r="J113" s="111" t="e">
        <v>#N/A</v>
      </c>
      <c r="K113" s="48"/>
      <c r="L113" s="55">
        <f t="shared" ref="L113:L126" si="56">$D$52*I70</f>
        <v>180</v>
      </c>
      <c r="M113" s="119" t="e">
        <f t="shared" ref="M113:M126" si="57">(I113*$E$78)+J113</f>
        <v>#N/A</v>
      </c>
      <c r="N113" s="63" t="e">
        <f t="shared" ref="N113" si="58">IF(L113&gt;=M113,M113,L113)</f>
        <v>#N/A</v>
      </c>
      <c r="O113" s="78"/>
      <c r="P113" s="48" t="str">
        <f t="shared" ref="P113:P126" si="59">J87</f>
        <v>CLU028-1201C4</v>
      </c>
      <c r="Q113" s="53" t="b">
        <f t="shared" ref="Q113:Q126" si="60">AND(S$106&lt;=$E$78,Q$106&gt;=$E$78)</f>
        <v>1</v>
      </c>
      <c r="R113" s="55">
        <f t="shared" ref="R113:R126" si="61">Q$103*I70</f>
        <v>5</v>
      </c>
      <c r="S113" s="55"/>
      <c r="T113" s="55" t="e">
        <f>N113</f>
        <v>#N/A</v>
      </c>
      <c r="U113" s="53" t="b">
        <f t="shared" ref="U113:U126" si="62">IFERROR(AND(Q113,R113&lt;=N87,T113&gt;=N87),FALSE)</f>
        <v>0</v>
      </c>
      <c r="V113" s="53" t="b">
        <f t="shared" ref="V113:V126" si="63">AND(Q113,S$109&lt;X87,Q$109&gt;X87)</f>
        <v>0</v>
      </c>
      <c r="W113" s="53" t="b">
        <f>AND(U113,Q113,V113)</f>
        <v>0</v>
      </c>
    </row>
    <row r="114" spans="1:32" ht="15" hidden="1">
      <c r="A114" s="48"/>
      <c r="B114" s="48"/>
      <c r="C114" s="48"/>
      <c r="D114" s="48"/>
      <c r="E114" s="48"/>
      <c r="F114" s="48"/>
      <c r="G114" s="48"/>
      <c r="H114" s="48" t="str">
        <f t="shared" ref="H114:H126" si="64">B3</f>
        <v>CLU028-1202C4</v>
      </c>
      <c r="I114" s="111" t="e">
        <v>#N/A</v>
      </c>
      <c r="J114" s="111" t="e">
        <v>#N/A</v>
      </c>
      <c r="K114" s="48"/>
      <c r="L114" s="55">
        <f t="shared" si="56"/>
        <v>360</v>
      </c>
      <c r="M114" s="119" t="e">
        <f t="shared" si="57"/>
        <v>#N/A</v>
      </c>
      <c r="N114" s="63" t="e">
        <f t="shared" ref="N114:N126" si="65">IF(L114&gt;=M114,M114,L114)</f>
        <v>#N/A</v>
      </c>
      <c r="O114" s="78"/>
      <c r="P114" s="48" t="str">
        <f t="shared" si="59"/>
        <v>CLU028-1202C4</v>
      </c>
      <c r="Q114" s="53" t="b">
        <f t="shared" si="60"/>
        <v>1</v>
      </c>
      <c r="R114" s="55">
        <f t="shared" si="61"/>
        <v>10</v>
      </c>
      <c r="S114" s="55"/>
      <c r="T114" s="55" t="e">
        <f>N114</f>
        <v>#N/A</v>
      </c>
      <c r="U114" s="53" t="b">
        <f t="shared" si="62"/>
        <v>0</v>
      </c>
      <c r="V114" s="53" t="b">
        <f t="shared" si="63"/>
        <v>0</v>
      </c>
      <c r="W114" s="53" t="b">
        <f>AND(U114,Q114,V114)</f>
        <v>0</v>
      </c>
    </row>
    <row r="115" spans="1:32" ht="15" hidden="1">
      <c r="A115" s="48"/>
      <c r="B115" s="48"/>
      <c r="C115" s="48"/>
      <c r="D115" s="48"/>
      <c r="E115" s="48"/>
      <c r="F115" s="48"/>
      <c r="G115" s="48"/>
      <c r="H115" s="48" t="str">
        <f t="shared" si="64"/>
        <v>CLU028-1203C4</v>
      </c>
      <c r="I115" s="111" t="e">
        <v>#N/A</v>
      </c>
      <c r="J115" s="111" t="e">
        <v>#N/A</v>
      </c>
      <c r="K115" s="48"/>
      <c r="L115" s="55">
        <f t="shared" si="56"/>
        <v>540</v>
      </c>
      <c r="M115" s="119" t="e">
        <f t="shared" si="57"/>
        <v>#N/A</v>
      </c>
      <c r="N115" s="63" t="e">
        <f t="shared" si="65"/>
        <v>#N/A</v>
      </c>
      <c r="O115" s="48"/>
      <c r="P115" s="48" t="str">
        <f t="shared" si="59"/>
        <v>CLU028-1203C4</v>
      </c>
      <c r="Q115" s="53" t="b">
        <f t="shared" si="60"/>
        <v>1</v>
      </c>
      <c r="R115" s="55">
        <f t="shared" si="61"/>
        <v>15</v>
      </c>
      <c r="S115" s="55"/>
      <c r="T115" s="55" t="e">
        <f t="shared" ref="T115:T125" si="66">N115</f>
        <v>#N/A</v>
      </c>
      <c r="U115" s="53" t="b">
        <f t="shared" si="62"/>
        <v>0</v>
      </c>
      <c r="V115" s="53" t="b">
        <f t="shared" si="63"/>
        <v>0</v>
      </c>
      <c r="W115" s="53" t="b">
        <f t="shared" ref="W115:W125" si="67">AND(U115,Q115,V115)</f>
        <v>0</v>
      </c>
    </row>
    <row r="116" spans="1:32" ht="15" hidden="1">
      <c r="A116" s="48"/>
      <c r="B116" s="48"/>
      <c r="C116" s="48"/>
      <c r="D116" s="48"/>
      <c r="E116" s="48"/>
      <c r="F116" s="48"/>
      <c r="G116" s="48"/>
      <c r="H116" s="48" t="str">
        <f t="shared" si="64"/>
        <v>CLU028-1204C4</v>
      </c>
      <c r="I116" s="111">
        <v>-13.1</v>
      </c>
      <c r="J116" s="111">
        <v>1833.5</v>
      </c>
      <c r="K116" s="48"/>
      <c r="L116" s="55">
        <f t="shared" si="56"/>
        <v>720</v>
      </c>
      <c r="M116" s="119">
        <f t="shared" si="57"/>
        <v>1506</v>
      </c>
      <c r="N116" s="63">
        <f t="shared" si="65"/>
        <v>720</v>
      </c>
      <c r="O116" s="48"/>
      <c r="P116" s="48" t="str">
        <f t="shared" si="59"/>
        <v>CLU028-1204C4</v>
      </c>
      <c r="Q116" s="53" t="b">
        <f t="shared" si="60"/>
        <v>1</v>
      </c>
      <c r="R116" s="55">
        <f t="shared" si="61"/>
        <v>20</v>
      </c>
      <c r="S116" s="55"/>
      <c r="T116" s="55">
        <f t="shared" si="66"/>
        <v>720</v>
      </c>
      <c r="U116" s="53" t="b">
        <f t="shared" si="62"/>
        <v>1</v>
      </c>
      <c r="V116" s="53" t="b">
        <f t="shared" si="63"/>
        <v>1</v>
      </c>
      <c r="W116" s="53" t="b">
        <f t="shared" si="67"/>
        <v>1</v>
      </c>
    </row>
    <row r="117" spans="1:32" ht="15" hidden="1">
      <c r="A117" s="48"/>
      <c r="B117" s="48"/>
      <c r="C117" s="48"/>
      <c r="D117" s="48"/>
      <c r="E117" s="48"/>
      <c r="F117" s="48"/>
      <c r="G117" s="48"/>
      <c r="H117" s="48" t="str">
        <f t="shared" si="64"/>
        <v>CLU038-1205C4</v>
      </c>
      <c r="I117" s="111" t="e">
        <v>#N/A</v>
      </c>
      <c r="J117" s="111" t="e">
        <v>#N/A</v>
      </c>
      <c r="K117" s="48"/>
      <c r="L117" s="55">
        <f t="shared" si="56"/>
        <v>900</v>
      </c>
      <c r="M117" s="119" t="e">
        <f t="shared" si="57"/>
        <v>#N/A</v>
      </c>
      <c r="N117" s="63" t="e">
        <f>IF(L117&gt;=M117,M117,L117)</f>
        <v>#N/A</v>
      </c>
      <c r="O117" s="48"/>
      <c r="P117" s="48" t="str">
        <f t="shared" si="59"/>
        <v>CLU038-1205C4</v>
      </c>
      <c r="Q117" s="53" t="b">
        <f t="shared" si="60"/>
        <v>1</v>
      </c>
      <c r="R117" s="55">
        <f t="shared" si="61"/>
        <v>25</v>
      </c>
      <c r="S117" s="55"/>
      <c r="T117" s="55" t="e">
        <f t="shared" si="66"/>
        <v>#N/A</v>
      </c>
      <c r="U117" s="53" t="b">
        <f t="shared" si="62"/>
        <v>0</v>
      </c>
      <c r="V117" s="53" t="b">
        <f t="shared" si="63"/>
        <v>0</v>
      </c>
      <c r="W117" s="53" t="b">
        <f t="shared" si="67"/>
        <v>0</v>
      </c>
    </row>
    <row r="118" spans="1:32" ht="15" hidden="1">
      <c r="A118" s="48"/>
      <c r="B118" s="48"/>
      <c r="C118" s="48"/>
      <c r="D118" s="48"/>
      <c r="E118" s="48"/>
      <c r="F118" s="48"/>
      <c r="G118" s="48"/>
      <c r="H118" s="48" t="str">
        <f t="shared" si="64"/>
        <v>CLU038-1206C4</v>
      </c>
      <c r="I118" s="111">
        <v>-4</v>
      </c>
      <c r="J118" s="111">
        <v>1420</v>
      </c>
      <c r="K118" s="48"/>
      <c r="L118" s="55">
        <f t="shared" si="56"/>
        <v>1080</v>
      </c>
      <c r="M118" s="119">
        <f t="shared" si="57"/>
        <v>1320</v>
      </c>
      <c r="N118" s="63">
        <f t="shared" si="65"/>
        <v>1080</v>
      </c>
      <c r="O118" s="48"/>
      <c r="P118" s="48" t="str">
        <f t="shared" si="59"/>
        <v>CLU038-1206C4</v>
      </c>
      <c r="Q118" s="53" t="b">
        <f t="shared" si="60"/>
        <v>1</v>
      </c>
      <c r="R118" s="55">
        <f t="shared" si="61"/>
        <v>30</v>
      </c>
      <c r="S118" s="55"/>
      <c r="T118" s="55">
        <f t="shared" si="66"/>
        <v>1080</v>
      </c>
      <c r="U118" s="53" t="b">
        <f t="shared" si="62"/>
        <v>0</v>
      </c>
      <c r="V118" s="53" t="b">
        <f t="shared" si="63"/>
        <v>1</v>
      </c>
      <c r="W118" s="53" t="b">
        <f t="shared" si="67"/>
        <v>0</v>
      </c>
    </row>
    <row r="119" spans="1:32" ht="15" hidden="1">
      <c r="A119" s="48"/>
      <c r="B119" s="48"/>
      <c r="C119" s="48"/>
      <c r="D119" s="48"/>
      <c r="E119" s="48"/>
      <c r="F119" s="48"/>
      <c r="G119" s="48"/>
      <c r="H119" s="48" t="str">
        <f t="shared" si="64"/>
        <v>CLU038-1208C4</v>
      </c>
      <c r="I119" s="111">
        <v>-10.65</v>
      </c>
      <c r="J119" s="111">
        <v>2345.25</v>
      </c>
      <c r="K119" s="48"/>
      <c r="L119" s="55">
        <f t="shared" si="56"/>
        <v>1440</v>
      </c>
      <c r="M119" s="119">
        <f t="shared" si="57"/>
        <v>2079</v>
      </c>
      <c r="N119" s="63">
        <f t="shared" si="65"/>
        <v>1440</v>
      </c>
      <c r="O119" s="48"/>
      <c r="P119" s="48" t="str">
        <f t="shared" si="59"/>
        <v>CLU038-1208C4</v>
      </c>
      <c r="Q119" s="53" t="b">
        <f t="shared" si="60"/>
        <v>1</v>
      </c>
      <c r="R119" s="55">
        <f t="shared" si="61"/>
        <v>40</v>
      </c>
      <c r="S119" s="55"/>
      <c r="T119" s="55">
        <f t="shared" si="66"/>
        <v>1440</v>
      </c>
      <c r="U119" s="53" t="b">
        <f t="shared" si="62"/>
        <v>0</v>
      </c>
      <c r="V119" s="53" t="b">
        <f t="shared" si="63"/>
        <v>1</v>
      </c>
      <c r="W119" s="53" t="b">
        <f t="shared" si="67"/>
        <v>0</v>
      </c>
    </row>
    <row r="120" spans="1:32" ht="15" hidden="1">
      <c r="A120" s="48"/>
      <c r="B120" s="48"/>
      <c r="C120" s="48"/>
      <c r="D120" s="48"/>
      <c r="E120" s="48"/>
      <c r="F120" s="48"/>
      <c r="G120" s="48"/>
      <c r="H120" s="48" t="str">
        <f t="shared" si="64"/>
        <v>CLU038-1210C4</v>
      </c>
      <c r="I120" s="111" t="e">
        <v>#N/A</v>
      </c>
      <c r="J120" s="111" t="e">
        <v>#N/A</v>
      </c>
      <c r="K120" s="48"/>
      <c r="L120" s="55">
        <f t="shared" si="56"/>
        <v>1800</v>
      </c>
      <c r="M120" s="119" t="e">
        <f t="shared" si="57"/>
        <v>#N/A</v>
      </c>
      <c r="N120" s="63" t="e">
        <f t="shared" si="65"/>
        <v>#N/A</v>
      </c>
      <c r="O120" s="48"/>
      <c r="P120" s="48" t="str">
        <f t="shared" si="59"/>
        <v>CLU038-1210C4</v>
      </c>
      <c r="Q120" s="53" t="b">
        <f t="shared" si="60"/>
        <v>1</v>
      </c>
      <c r="R120" s="55">
        <f t="shared" si="61"/>
        <v>50</v>
      </c>
      <c r="S120" s="55"/>
      <c r="T120" s="55" t="e">
        <f t="shared" si="66"/>
        <v>#N/A</v>
      </c>
      <c r="U120" s="53" t="b">
        <f t="shared" si="62"/>
        <v>0</v>
      </c>
      <c r="V120" s="53" t="b">
        <f t="shared" si="63"/>
        <v>0</v>
      </c>
      <c r="W120" s="53" t="b">
        <f t="shared" si="67"/>
        <v>0</v>
      </c>
    </row>
    <row r="121" spans="1:32" ht="15" hidden="1">
      <c r="A121" s="48"/>
      <c r="B121" s="48"/>
      <c r="C121" s="48"/>
      <c r="D121" s="48"/>
      <c r="E121" s="48"/>
      <c r="F121" s="48"/>
      <c r="G121" s="48"/>
      <c r="H121" s="48" t="str">
        <f t="shared" si="64"/>
        <v>CLU048-1211C4</v>
      </c>
      <c r="I121" s="111" t="e">
        <v>#N/A</v>
      </c>
      <c r="J121" s="111" t="e">
        <v>#N/A</v>
      </c>
      <c r="K121" s="48"/>
      <c r="L121" s="55">
        <f t="shared" si="56"/>
        <v>1980</v>
      </c>
      <c r="M121" s="119" t="e">
        <f t="shared" si="57"/>
        <v>#N/A</v>
      </c>
      <c r="N121" s="63" t="e">
        <f t="shared" ref="N121" si="68">IF(L121&gt;=M121,M121,L121)</f>
        <v>#N/A</v>
      </c>
      <c r="O121" s="48"/>
      <c r="P121" s="48" t="str">
        <f>J95</f>
        <v>CLU048-1211C4</v>
      </c>
      <c r="Q121" s="53" t="b">
        <f t="shared" si="60"/>
        <v>1</v>
      </c>
      <c r="R121" s="55">
        <f t="shared" si="61"/>
        <v>55</v>
      </c>
      <c r="S121" s="55"/>
      <c r="T121" s="55" t="e">
        <f t="shared" ref="T121" si="69">N121</f>
        <v>#N/A</v>
      </c>
      <c r="U121" s="53" t="b">
        <f t="shared" si="62"/>
        <v>0</v>
      </c>
      <c r="V121" s="53" t="b">
        <f t="shared" si="63"/>
        <v>0</v>
      </c>
      <c r="W121" s="53" t="b">
        <f t="shared" ref="W121" si="70">AND(U121,Q121,V121)</f>
        <v>0</v>
      </c>
    </row>
    <row r="122" spans="1:32" ht="15" hidden="1">
      <c r="A122" s="48"/>
      <c r="B122" s="48"/>
      <c r="C122" s="48"/>
      <c r="D122" s="48"/>
      <c r="E122" s="48"/>
      <c r="F122" s="48"/>
      <c r="G122" s="48"/>
      <c r="H122" s="48" t="str">
        <f t="shared" si="64"/>
        <v>CLU048-1212C4</v>
      </c>
      <c r="I122" s="111">
        <v>-16</v>
      </c>
      <c r="J122" s="111">
        <v>3520</v>
      </c>
      <c r="K122" s="48"/>
      <c r="L122" s="55">
        <f t="shared" si="56"/>
        <v>2160</v>
      </c>
      <c r="M122" s="119">
        <f t="shared" si="57"/>
        <v>3120</v>
      </c>
      <c r="N122" s="63">
        <f t="shared" si="65"/>
        <v>2160</v>
      </c>
      <c r="O122" s="48"/>
      <c r="P122" s="48" t="str">
        <f t="shared" si="59"/>
        <v>CLU048-1212C4</v>
      </c>
      <c r="Q122" s="53" t="b">
        <f t="shared" si="60"/>
        <v>1</v>
      </c>
      <c r="R122" s="55">
        <f t="shared" si="61"/>
        <v>60</v>
      </c>
      <c r="S122" s="55"/>
      <c r="T122" s="55">
        <f t="shared" si="66"/>
        <v>2160</v>
      </c>
      <c r="U122" s="53" t="b">
        <f t="shared" si="62"/>
        <v>0</v>
      </c>
      <c r="V122" s="53" t="b">
        <f t="shared" si="63"/>
        <v>1</v>
      </c>
      <c r="W122" s="53" t="b">
        <f t="shared" si="67"/>
        <v>0</v>
      </c>
    </row>
    <row r="123" spans="1:32" ht="15" hidden="1">
      <c r="A123" s="48"/>
      <c r="B123" s="48"/>
      <c r="C123" s="48"/>
      <c r="D123" s="48"/>
      <c r="E123" s="48"/>
      <c r="F123" s="48"/>
      <c r="G123" s="48"/>
      <c r="H123" s="48" t="str">
        <f t="shared" si="64"/>
        <v>CLU048-1812C4</v>
      </c>
      <c r="I123" s="111">
        <v>-28</v>
      </c>
      <c r="J123" s="111">
        <v>4540</v>
      </c>
      <c r="K123" s="48"/>
      <c r="L123" s="55">
        <f t="shared" si="56"/>
        <v>2160</v>
      </c>
      <c r="M123" s="119">
        <f t="shared" si="57"/>
        <v>3840</v>
      </c>
      <c r="N123" s="63">
        <f t="shared" si="65"/>
        <v>2160</v>
      </c>
      <c r="O123" s="48"/>
      <c r="P123" s="48" t="str">
        <f t="shared" si="59"/>
        <v>CLU048-1812C4</v>
      </c>
      <c r="Q123" s="53" t="b">
        <f t="shared" si="60"/>
        <v>1</v>
      </c>
      <c r="R123" s="55">
        <f t="shared" si="61"/>
        <v>60</v>
      </c>
      <c r="S123" s="55"/>
      <c r="T123" s="55">
        <f t="shared" si="66"/>
        <v>2160</v>
      </c>
      <c r="U123" s="53" t="b">
        <f t="shared" si="62"/>
        <v>0</v>
      </c>
      <c r="V123" s="53" t="b">
        <f t="shared" si="63"/>
        <v>1</v>
      </c>
      <c r="W123" s="53" t="b">
        <f t="shared" si="67"/>
        <v>0</v>
      </c>
    </row>
    <row r="124" spans="1:32" ht="15" hidden="1">
      <c r="A124" s="48"/>
      <c r="B124" s="48"/>
      <c r="C124" s="48"/>
      <c r="D124" s="48"/>
      <c r="E124" s="48"/>
      <c r="F124" s="48"/>
      <c r="G124" s="48"/>
      <c r="H124" s="48" t="str">
        <f t="shared" si="64"/>
        <v>CLU048-1818C4</v>
      </c>
      <c r="I124" s="111" t="e">
        <v>#N/A</v>
      </c>
      <c r="J124" s="111" t="e">
        <v>#N/A</v>
      </c>
      <c r="K124" s="48"/>
      <c r="L124" s="55">
        <f t="shared" si="56"/>
        <v>3240</v>
      </c>
      <c r="M124" s="119" t="e">
        <f t="shared" si="57"/>
        <v>#N/A</v>
      </c>
      <c r="N124" s="63" t="e">
        <f t="shared" si="65"/>
        <v>#N/A</v>
      </c>
      <c r="O124" s="48"/>
      <c r="P124" s="48" t="str">
        <f t="shared" si="59"/>
        <v>CLU048-1818C4</v>
      </c>
      <c r="Q124" s="53" t="b">
        <f t="shared" si="60"/>
        <v>1</v>
      </c>
      <c r="R124" s="55">
        <f t="shared" si="61"/>
        <v>90</v>
      </c>
      <c r="S124" s="55"/>
      <c r="T124" s="55" t="e">
        <f t="shared" si="66"/>
        <v>#N/A</v>
      </c>
      <c r="U124" s="53" t="b">
        <f t="shared" si="62"/>
        <v>0</v>
      </c>
      <c r="V124" s="53" t="b">
        <f t="shared" si="63"/>
        <v>0</v>
      </c>
      <c r="W124" s="53" t="b">
        <f t="shared" si="67"/>
        <v>0</v>
      </c>
    </row>
    <row r="125" spans="1:32" ht="15" hidden="1">
      <c r="A125" s="48"/>
      <c r="B125" s="48"/>
      <c r="C125" s="48"/>
      <c r="D125" s="48"/>
      <c r="E125" s="48"/>
      <c r="F125" s="48"/>
      <c r="G125" s="48"/>
      <c r="H125" s="48" t="str">
        <f t="shared" si="64"/>
        <v>CLU058-1825C4</v>
      </c>
      <c r="I125" s="111" t="e">
        <v>#N/A</v>
      </c>
      <c r="J125" s="111" t="e">
        <v>#N/A</v>
      </c>
      <c r="K125" s="48"/>
      <c r="L125" s="55">
        <f t="shared" si="56"/>
        <v>4500</v>
      </c>
      <c r="M125" s="119" t="e">
        <f t="shared" si="57"/>
        <v>#N/A</v>
      </c>
      <c r="N125" s="63" t="e">
        <f t="shared" si="65"/>
        <v>#N/A</v>
      </c>
      <c r="O125" s="48"/>
      <c r="P125" s="48" t="str">
        <f t="shared" si="59"/>
        <v>CLU058-1825C4</v>
      </c>
      <c r="Q125" s="53" t="b">
        <f t="shared" si="60"/>
        <v>1</v>
      </c>
      <c r="R125" s="55">
        <f t="shared" si="61"/>
        <v>125</v>
      </c>
      <c r="S125" s="55"/>
      <c r="T125" s="55" t="e">
        <f t="shared" si="66"/>
        <v>#N/A</v>
      </c>
      <c r="U125" s="53" t="b">
        <f t="shared" si="62"/>
        <v>0</v>
      </c>
      <c r="V125" s="53" t="b">
        <f t="shared" si="63"/>
        <v>0</v>
      </c>
      <c r="W125" s="53" t="b">
        <f t="shared" si="67"/>
        <v>0</v>
      </c>
    </row>
    <row r="126" spans="1:32" ht="15" hidden="1">
      <c r="A126" s="48"/>
      <c r="B126" s="48"/>
      <c r="C126" s="48"/>
      <c r="D126" s="48"/>
      <c r="E126" s="48"/>
      <c r="F126" s="48"/>
      <c r="G126" s="48"/>
      <c r="H126" s="48" t="str">
        <f t="shared" si="64"/>
        <v>CLU058-3618C4</v>
      </c>
      <c r="I126" s="111" t="e">
        <v>#N/A</v>
      </c>
      <c r="J126" s="111" t="e">
        <v>#N/A</v>
      </c>
      <c r="K126" s="48"/>
      <c r="L126" s="55">
        <f t="shared" si="56"/>
        <v>3240</v>
      </c>
      <c r="M126" s="119" t="e">
        <f t="shared" si="57"/>
        <v>#N/A</v>
      </c>
      <c r="N126" s="63" t="e">
        <f t="shared" si="65"/>
        <v>#N/A</v>
      </c>
      <c r="O126" s="48"/>
      <c r="P126" s="48" t="str">
        <f t="shared" si="59"/>
        <v>CLU058-3618C4</v>
      </c>
      <c r="Q126" s="53" t="b">
        <f t="shared" si="60"/>
        <v>1</v>
      </c>
      <c r="R126" s="55">
        <f t="shared" si="61"/>
        <v>90</v>
      </c>
      <c r="S126" s="55"/>
      <c r="T126" s="55" t="e">
        <f t="shared" ref="T126" si="71">N126</f>
        <v>#N/A</v>
      </c>
      <c r="U126" s="53" t="b">
        <f t="shared" si="62"/>
        <v>0</v>
      </c>
      <c r="V126" s="53" t="b">
        <f t="shared" si="63"/>
        <v>0</v>
      </c>
      <c r="W126" s="53" t="b">
        <f t="shared" ref="W126" si="72">AND(U126,Q126,V126)</f>
        <v>0</v>
      </c>
    </row>
    <row r="127" spans="1:32" ht="14.25" hidden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 t="s">
        <v>77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1:32" ht="14.25" hidden="1">
      <c r="A128" s="57"/>
      <c r="B128" s="57" t="s">
        <v>36</v>
      </c>
      <c r="C128" s="57" t="s">
        <v>37</v>
      </c>
      <c r="D128" s="57" t="s">
        <v>38</v>
      </c>
      <c r="E128" s="57" t="s">
        <v>39</v>
      </c>
      <c r="F128" s="57" t="s">
        <v>40</v>
      </c>
      <c r="G128" s="48"/>
      <c r="H128" s="48"/>
      <c r="I128" s="48"/>
      <c r="J128" s="48"/>
      <c r="K128" s="97"/>
      <c r="L128" s="97">
        <v>1</v>
      </c>
      <c r="M128" s="97">
        <v>2</v>
      </c>
      <c r="N128" s="97">
        <v>3</v>
      </c>
      <c r="O128" s="97">
        <v>4</v>
      </c>
      <c r="P128" s="97">
        <v>5</v>
      </c>
      <c r="Q128" s="97">
        <v>6</v>
      </c>
      <c r="R128" s="97">
        <v>7</v>
      </c>
      <c r="S128" s="97">
        <v>8</v>
      </c>
      <c r="T128" s="97">
        <v>9</v>
      </c>
      <c r="U128" s="97">
        <v>10</v>
      </c>
      <c r="V128" s="97">
        <v>11</v>
      </c>
      <c r="W128" s="97">
        <v>12</v>
      </c>
      <c r="X128" s="97">
        <v>13</v>
      </c>
      <c r="Y128" s="97">
        <v>14</v>
      </c>
      <c r="Z128" s="97">
        <v>15</v>
      </c>
      <c r="AA128" s="97">
        <v>16</v>
      </c>
      <c r="AB128" s="97">
        <v>17</v>
      </c>
      <c r="AC128" s="97">
        <v>18</v>
      </c>
      <c r="AD128" s="97">
        <v>19</v>
      </c>
      <c r="AE128" s="97">
        <v>20</v>
      </c>
      <c r="AF128" s="97">
        <v>21</v>
      </c>
    </row>
    <row r="129" spans="1:32" ht="14.25" hidden="1">
      <c r="A129" s="57" t="s">
        <v>41</v>
      </c>
      <c r="B129" s="91">
        <f t="shared" ref="B129:F131" si="73">C62</f>
        <v>1.0119431074742607E-8</v>
      </c>
      <c r="C129" s="91">
        <f t="shared" si="73"/>
        <v>0.21105761006135373</v>
      </c>
      <c r="D129" s="91">
        <f t="shared" si="73"/>
        <v>-1.6935931880461949E-6</v>
      </c>
      <c r="E129" s="91">
        <f t="shared" si="73"/>
        <v>-1.115215453639155E-8</v>
      </c>
      <c r="F129" s="91">
        <f t="shared" si="73"/>
        <v>2.7366883102613162E-6</v>
      </c>
      <c r="G129" s="48"/>
      <c r="H129" s="32" t="s">
        <v>1</v>
      </c>
      <c r="I129" s="33" t="s">
        <v>2</v>
      </c>
      <c r="J129" s="48"/>
      <c r="K129" s="97" t="s">
        <v>44</v>
      </c>
      <c r="L129" s="97" t="str">
        <f>I2</f>
        <v>5000K,Natural</v>
      </c>
      <c r="M129" s="97" t="str">
        <f>I3</f>
        <v>4000K,Natural</v>
      </c>
      <c r="N129" s="97" t="str">
        <f>I4</f>
        <v>3500K,Natural</v>
      </c>
      <c r="O129" s="97" t="str">
        <f>I5</f>
        <v>3000K,Natural</v>
      </c>
      <c r="P129" s="97" t="str">
        <f>I6</f>
        <v>2700K,Natural</v>
      </c>
      <c r="Q129" s="97" t="str">
        <f>I7</f>
        <v>5000K,Brilliant</v>
      </c>
      <c r="R129" s="97" t="str">
        <f>I8</f>
        <v>4000K,Brilliant</v>
      </c>
      <c r="S129" s="97" t="str">
        <f>I9</f>
        <v>3500K,Brilliant</v>
      </c>
      <c r="T129" s="97" t="str">
        <f>I10</f>
        <v>3000K,Brilliant</v>
      </c>
      <c r="U129" s="97" t="str">
        <f>I11</f>
        <v>2700K,Brilliant</v>
      </c>
      <c r="V129" s="97">
        <f>I12</f>
        <v>0</v>
      </c>
      <c r="W129" s="97">
        <f>I13</f>
        <v>0</v>
      </c>
      <c r="X129" s="97">
        <f>I14</f>
        <v>0</v>
      </c>
      <c r="Y129" s="97">
        <f>I15</f>
        <v>0</v>
      </c>
      <c r="Z129" s="97">
        <f>I16</f>
        <v>0</v>
      </c>
      <c r="AA129" s="97">
        <f>I17</f>
        <v>0</v>
      </c>
      <c r="AB129" s="97">
        <f>I18</f>
        <v>0</v>
      </c>
      <c r="AC129" s="97">
        <f>I19</f>
        <v>0</v>
      </c>
      <c r="AD129" s="97">
        <f>I20</f>
        <v>0</v>
      </c>
      <c r="AE129" s="97">
        <f>I21</f>
        <v>0</v>
      </c>
      <c r="AF129" s="97">
        <f>I22</f>
        <v>0</v>
      </c>
    </row>
    <row r="130" spans="1:32" ht="14.25" hidden="1">
      <c r="A130" s="57" t="s">
        <v>42</v>
      </c>
      <c r="B130" s="91">
        <f t="shared" si="73"/>
        <v>-1.2314719114487644E-5</v>
      </c>
      <c r="C130" s="91">
        <f t="shared" si="73"/>
        <v>8.6374162150953868</v>
      </c>
      <c r="D130" s="91">
        <f t="shared" si="73"/>
        <v>1.3420711790919167E-3</v>
      </c>
      <c r="E130" s="91">
        <f t="shared" si="73"/>
        <v>-4.1294483136519757E-6</v>
      </c>
      <c r="F130" s="91">
        <f t="shared" si="73"/>
        <v>-9.4613757242850683E-4</v>
      </c>
      <c r="G130" s="48">
        <f>H130*I130</f>
        <v>12</v>
      </c>
      <c r="H130" s="48">
        <f t="shared" ref="H130:I137" si="74">H70</f>
        <v>12</v>
      </c>
      <c r="I130" s="48">
        <f t="shared" si="74"/>
        <v>1</v>
      </c>
      <c r="J130" s="48" t="str">
        <f t="shared" ref="J130:J137" si="75">B2</f>
        <v>CLU028-1201C4</v>
      </c>
      <c r="K130" s="103">
        <f t="shared" ref="K130:L137" si="76">K70</f>
        <v>35.87874495285147</v>
      </c>
      <c r="L130" s="105">
        <f t="shared" si="76"/>
        <v>0</v>
      </c>
      <c r="M130" s="105">
        <f t="shared" ref="M130:P130" si="77">M70</f>
        <v>0</v>
      </c>
      <c r="N130" s="105">
        <f t="shared" si="77"/>
        <v>0</v>
      </c>
      <c r="O130" s="105">
        <f t="shared" si="77"/>
        <v>0</v>
      </c>
      <c r="P130" s="105">
        <f t="shared" si="77"/>
        <v>0</v>
      </c>
      <c r="Q130" s="105">
        <f t="shared" ref="Q130:AF130" si="78">Q70</f>
        <v>0</v>
      </c>
      <c r="R130" s="105">
        <f t="shared" si="78"/>
        <v>0</v>
      </c>
      <c r="S130" s="105">
        <f t="shared" si="78"/>
        <v>0</v>
      </c>
      <c r="T130" s="105">
        <f t="shared" si="78"/>
        <v>0</v>
      </c>
      <c r="U130" s="105">
        <f t="shared" si="78"/>
        <v>0</v>
      </c>
      <c r="V130" s="105">
        <f t="shared" si="78"/>
        <v>0</v>
      </c>
      <c r="W130" s="105">
        <f t="shared" si="78"/>
        <v>0</v>
      </c>
      <c r="X130" s="105">
        <f t="shared" si="78"/>
        <v>0</v>
      </c>
      <c r="Y130" s="105">
        <f t="shared" si="78"/>
        <v>0</v>
      </c>
      <c r="Z130" s="105">
        <f t="shared" si="78"/>
        <v>0</v>
      </c>
      <c r="AA130" s="105">
        <f t="shared" si="78"/>
        <v>0</v>
      </c>
      <c r="AB130" s="105">
        <f t="shared" si="78"/>
        <v>0</v>
      </c>
      <c r="AC130" s="105">
        <f t="shared" si="78"/>
        <v>0</v>
      </c>
      <c r="AD130" s="105">
        <f t="shared" si="78"/>
        <v>0</v>
      </c>
      <c r="AE130" s="105">
        <f t="shared" si="78"/>
        <v>0</v>
      </c>
      <c r="AF130" s="105">
        <f t="shared" si="78"/>
        <v>0</v>
      </c>
    </row>
    <row r="131" spans="1:32" ht="14.25" hidden="1">
      <c r="A131" s="57" t="s">
        <v>43</v>
      </c>
      <c r="B131" s="91">
        <f t="shared" si="73"/>
        <v>1.2119154446513892E-2</v>
      </c>
      <c r="C131" s="91">
        <f t="shared" si="73"/>
        <v>81.029256393012432</v>
      </c>
      <c r="D131" s="91">
        <f t="shared" si="73"/>
        <v>0.89293169870490163</v>
      </c>
      <c r="E131" s="91">
        <f t="shared" si="73"/>
        <v>-1.3906686657642209E-3</v>
      </c>
      <c r="F131" s="91">
        <f t="shared" si="73"/>
        <v>1.0219430090961608</v>
      </c>
      <c r="G131" s="48">
        <f>H131*I131</f>
        <v>24</v>
      </c>
      <c r="H131" s="48">
        <f t="shared" si="74"/>
        <v>12</v>
      </c>
      <c r="I131" s="48">
        <f t="shared" si="74"/>
        <v>2</v>
      </c>
      <c r="J131" s="48" t="str">
        <f t="shared" si="75"/>
        <v>CLU028-1202C4</v>
      </c>
      <c r="K131" s="103">
        <f t="shared" si="76"/>
        <v>35.854776667344296</v>
      </c>
      <c r="L131" s="105">
        <f t="shared" si="76"/>
        <v>0</v>
      </c>
      <c r="M131" s="105">
        <f t="shared" ref="M131:P131" si="79">M71</f>
        <v>0</v>
      </c>
      <c r="N131" s="105">
        <f t="shared" si="79"/>
        <v>0</v>
      </c>
      <c r="O131" s="105">
        <f t="shared" si="79"/>
        <v>0</v>
      </c>
      <c r="P131" s="105">
        <f t="shared" si="79"/>
        <v>0</v>
      </c>
      <c r="Q131" s="105">
        <f t="shared" ref="Q131:AF131" si="80">Q71</f>
        <v>0</v>
      </c>
      <c r="R131" s="105">
        <f t="shared" si="80"/>
        <v>0</v>
      </c>
      <c r="S131" s="105">
        <f t="shared" si="80"/>
        <v>0</v>
      </c>
      <c r="T131" s="105">
        <f t="shared" si="80"/>
        <v>0</v>
      </c>
      <c r="U131" s="105">
        <f t="shared" si="80"/>
        <v>0</v>
      </c>
      <c r="V131" s="105">
        <f t="shared" si="80"/>
        <v>0</v>
      </c>
      <c r="W131" s="105">
        <f t="shared" si="80"/>
        <v>0</v>
      </c>
      <c r="X131" s="105">
        <f t="shared" si="80"/>
        <v>0</v>
      </c>
      <c r="Y131" s="105">
        <f t="shared" si="80"/>
        <v>0</v>
      </c>
      <c r="Z131" s="105">
        <f t="shared" si="80"/>
        <v>0</v>
      </c>
      <c r="AA131" s="105">
        <f t="shared" si="80"/>
        <v>0</v>
      </c>
      <c r="AB131" s="105">
        <f t="shared" si="80"/>
        <v>0</v>
      </c>
      <c r="AC131" s="105">
        <f t="shared" si="80"/>
        <v>0</v>
      </c>
      <c r="AD131" s="105">
        <f t="shared" si="80"/>
        <v>0</v>
      </c>
      <c r="AE131" s="105">
        <f t="shared" si="80"/>
        <v>0</v>
      </c>
      <c r="AF131" s="105">
        <f t="shared" si="80"/>
        <v>0</v>
      </c>
    </row>
    <row r="132" spans="1:32" ht="14.25" hidden="1">
      <c r="A132" s="62" t="s">
        <v>59</v>
      </c>
      <c r="B132" s="91">
        <f>C65</f>
        <v>1.648259387612208E-3</v>
      </c>
      <c r="C132" s="91">
        <f>D65</f>
        <v>0.11848164478038881</v>
      </c>
      <c r="D132" s="92"/>
      <c r="E132" s="91">
        <f>F65</f>
        <v>1.0375218742414281</v>
      </c>
      <c r="F132" s="92"/>
      <c r="G132" s="48">
        <f t="shared" ref="G132:G142" si="81">H132*I132</f>
        <v>36</v>
      </c>
      <c r="H132" s="48">
        <f t="shared" si="74"/>
        <v>12</v>
      </c>
      <c r="I132" s="48">
        <f t="shared" si="74"/>
        <v>3</v>
      </c>
      <c r="J132" s="48" t="str">
        <f t="shared" si="75"/>
        <v>CLU028-1203C4</v>
      </c>
      <c r="K132" s="103">
        <f t="shared" si="76"/>
        <v>35.841759621654774</v>
      </c>
      <c r="L132" s="105">
        <f t="shared" si="76"/>
        <v>0</v>
      </c>
      <c r="M132" s="105">
        <f t="shared" ref="M132:P132" si="82">M72</f>
        <v>0</v>
      </c>
      <c r="N132" s="105">
        <f t="shared" si="82"/>
        <v>0</v>
      </c>
      <c r="O132" s="105">
        <f t="shared" si="82"/>
        <v>0</v>
      </c>
      <c r="P132" s="105">
        <f t="shared" si="82"/>
        <v>0</v>
      </c>
      <c r="Q132" s="105">
        <f t="shared" ref="Q132:AF132" si="83">Q72</f>
        <v>0</v>
      </c>
      <c r="R132" s="105">
        <f t="shared" si="83"/>
        <v>0</v>
      </c>
      <c r="S132" s="105">
        <f t="shared" si="83"/>
        <v>0</v>
      </c>
      <c r="T132" s="105">
        <f t="shared" si="83"/>
        <v>0</v>
      </c>
      <c r="U132" s="105">
        <f t="shared" si="83"/>
        <v>0</v>
      </c>
      <c r="V132" s="105">
        <f t="shared" si="83"/>
        <v>0</v>
      </c>
      <c r="W132" s="105">
        <f t="shared" si="83"/>
        <v>0</v>
      </c>
      <c r="X132" s="105">
        <f t="shared" si="83"/>
        <v>0</v>
      </c>
      <c r="Y132" s="105">
        <f t="shared" si="83"/>
        <v>0</v>
      </c>
      <c r="Z132" s="105">
        <f t="shared" si="83"/>
        <v>0</v>
      </c>
      <c r="AA132" s="105">
        <f t="shared" si="83"/>
        <v>0</v>
      </c>
      <c r="AB132" s="105">
        <f t="shared" si="83"/>
        <v>0</v>
      </c>
      <c r="AC132" s="105">
        <f t="shared" si="83"/>
        <v>0</v>
      </c>
      <c r="AD132" s="105">
        <f t="shared" si="83"/>
        <v>0</v>
      </c>
      <c r="AE132" s="105">
        <f t="shared" si="83"/>
        <v>0</v>
      </c>
      <c r="AF132" s="105">
        <f t="shared" si="83"/>
        <v>0</v>
      </c>
    </row>
    <row r="133" spans="1:32" ht="14.25" hidden="1">
      <c r="A133" s="48"/>
      <c r="B133" s="48"/>
      <c r="C133" s="48"/>
      <c r="D133" s="48" t="s">
        <v>56</v>
      </c>
      <c r="E133" s="70">
        <f>Simulator!G6</f>
        <v>90</v>
      </c>
      <c r="G133" s="48">
        <f t="shared" si="81"/>
        <v>48</v>
      </c>
      <c r="H133" s="48">
        <f t="shared" si="74"/>
        <v>12</v>
      </c>
      <c r="I133" s="48">
        <f t="shared" si="74"/>
        <v>4</v>
      </c>
      <c r="J133" s="48" t="str">
        <f t="shared" si="75"/>
        <v>CLU028-1204C4</v>
      </c>
      <c r="K133" s="103">
        <f t="shared" si="76"/>
        <v>35.822402387903324</v>
      </c>
      <c r="L133" s="105">
        <f t="shared" si="76"/>
        <v>1506.2048327393868</v>
      </c>
      <c r="M133" s="105">
        <f t="shared" ref="M133:P133" si="84">M73</f>
        <v>1457.7596480606346</v>
      </c>
      <c r="N133" s="105">
        <f t="shared" si="84"/>
        <v>1420.3247326270534</v>
      </c>
      <c r="O133" s="105">
        <f t="shared" si="84"/>
        <v>1371.8795479483013</v>
      </c>
      <c r="P133" s="105">
        <f t="shared" si="84"/>
        <v>1284.8984209114508</v>
      </c>
      <c r="Q133" s="105">
        <f t="shared" ref="Q133:AF133" si="85">Q73</f>
        <v>1298.1107440056558</v>
      </c>
      <c r="R133" s="105">
        <f t="shared" si="85"/>
        <v>1267.2819901191772</v>
      </c>
      <c r="S133" s="105">
        <f t="shared" si="85"/>
        <v>1224.3419400630105</v>
      </c>
      <c r="T133" s="105">
        <f t="shared" si="85"/>
        <v>1162.6844322900531</v>
      </c>
      <c r="U133" s="105">
        <f t="shared" si="85"/>
        <v>1102.1279514416128</v>
      </c>
      <c r="V133" s="105">
        <f t="shared" si="85"/>
        <v>0</v>
      </c>
      <c r="W133" s="105">
        <f t="shared" si="85"/>
        <v>0</v>
      </c>
      <c r="X133" s="105">
        <f t="shared" si="85"/>
        <v>0</v>
      </c>
      <c r="Y133" s="105">
        <f t="shared" si="85"/>
        <v>0</v>
      </c>
      <c r="Z133" s="105">
        <f t="shared" si="85"/>
        <v>0</v>
      </c>
      <c r="AA133" s="105">
        <f t="shared" si="85"/>
        <v>0</v>
      </c>
      <c r="AB133" s="105">
        <f t="shared" si="85"/>
        <v>0</v>
      </c>
      <c r="AC133" s="105">
        <f t="shared" si="85"/>
        <v>0</v>
      </c>
      <c r="AD133" s="105">
        <f t="shared" si="85"/>
        <v>0</v>
      </c>
      <c r="AE133" s="105">
        <f t="shared" si="85"/>
        <v>0</v>
      </c>
      <c r="AF133" s="105">
        <f t="shared" si="85"/>
        <v>0</v>
      </c>
    </row>
    <row r="134" spans="1:32" ht="14.25" hidden="1">
      <c r="A134" s="48"/>
      <c r="B134" s="65"/>
      <c r="C134" s="65"/>
      <c r="D134" s="48"/>
      <c r="E134" s="48"/>
      <c r="G134" s="48">
        <f t="shared" si="81"/>
        <v>60</v>
      </c>
      <c r="H134" s="48">
        <f t="shared" si="74"/>
        <v>12</v>
      </c>
      <c r="I134" s="48">
        <f t="shared" si="74"/>
        <v>5</v>
      </c>
      <c r="J134" s="48" t="str">
        <f t="shared" si="75"/>
        <v>CLU038-1205C4</v>
      </c>
      <c r="K134" s="103">
        <f t="shared" si="76"/>
        <v>35.824909565181507</v>
      </c>
      <c r="L134" s="105">
        <f t="shared" si="76"/>
        <v>0</v>
      </c>
      <c r="M134" s="105">
        <f t="shared" ref="M134:P134" si="86">M74</f>
        <v>0</v>
      </c>
      <c r="N134" s="105">
        <f t="shared" si="86"/>
        <v>0</v>
      </c>
      <c r="O134" s="105">
        <f t="shared" si="86"/>
        <v>0</v>
      </c>
      <c r="P134" s="105">
        <f t="shared" si="86"/>
        <v>0</v>
      </c>
      <c r="Q134" s="105">
        <f t="shared" ref="Q134:AF134" si="87">Q74</f>
        <v>0</v>
      </c>
      <c r="R134" s="105">
        <f t="shared" si="87"/>
        <v>0</v>
      </c>
      <c r="S134" s="105">
        <f t="shared" si="87"/>
        <v>0</v>
      </c>
      <c r="T134" s="105">
        <f t="shared" si="87"/>
        <v>0</v>
      </c>
      <c r="U134" s="105">
        <f t="shared" si="87"/>
        <v>0</v>
      </c>
      <c r="V134" s="105">
        <f t="shared" si="87"/>
        <v>0</v>
      </c>
      <c r="W134" s="105">
        <f t="shared" si="87"/>
        <v>0</v>
      </c>
      <c r="X134" s="105">
        <f t="shared" si="87"/>
        <v>0</v>
      </c>
      <c r="Y134" s="105">
        <f t="shared" si="87"/>
        <v>0</v>
      </c>
      <c r="Z134" s="105">
        <f t="shared" si="87"/>
        <v>0</v>
      </c>
      <c r="AA134" s="105">
        <f t="shared" si="87"/>
        <v>0</v>
      </c>
      <c r="AB134" s="105">
        <f t="shared" si="87"/>
        <v>0</v>
      </c>
      <c r="AC134" s="105">
        <f t="shared" si="87"/>
        <v>0</v>
      </c>
      <c r="AD134" s="105">
        <f t="shared" si="87"/>
        <v>0</v>
      </c>
      <c r="AE134" s="105">
        <f t="shared" si="87"/>
        <v>0</v>
      </c>
      <c r="AF134" s="105">
        <f t="shared" si="87"/>
        <v>0</v>
      </c>
    </row>
    <row r="135" spans="1:32" ht="14.25" hidden="1">
      <c r="A135" s="48"/>
      <c r="B135" s="55"/>
      <c r="C135" s="71"/>
      <c r="D135" s="48" t="s">
        <v>57</v>
      </c>
      <c r="E135" s="87">
        <f>Simulator!L6</f>
        <v>25</v>
      </c>
      <c r="G135" s="48">
        <f t="shared" si="81"/>
        <v>72</v>
      </c>
      <c r="H135" s="48">
        <f t="shared" si="74"/>
        <v>12</v>
      </c>
      <c r="I135" s="48">
        <f t="shared" si="74"/>
        <v>6</v>
      </c>
      <c r="J135" s="48" t="str">
        <f t="shared" si="75"/>
        <v>CLU038-1206C4</v>
      </c>
      <c r="K135" s="103">
        <f t="shared" si="76"/>
        <v>35.809824493665346</v>
      </c>
      <c r="L135" s="105">
        <f t="shared" si="76"/>
        <v>2333.9926151167456</v>
      </c>
      <c r="M135" s="105">
        <f t="shared" ref="M135:P135" si="88">M75</f>
        <v>2258.1351066650004</v>
      </c>
      <c r="N135" s="105">
        <f t="shared" si="88"/>
        <v>2200.9671292810763</v>
      </c>
      <c r="O135" s="105">
        <f t="shared" si="88"/>
        <v>2126.2090050097909</v>
      </c>
      <c r="P135" s="105">
        <f t="shared" si="88"/>
        <v>1992.0841349936613</v>
      </c>
      <c r="Q135" s="105">
        <f t="shared" ref="Q135:AF135" si="89">Q75</f>
        <v>2011.8730502419428</v>
      </c>
      <c r="R135" s="105">
        <f t="shared" si="89"/>
        <v>1963.5001463016993</v>
      </c>
      <c r="S135" s="105">
        <f t="shared" si="89"/>
        <v>1897.5370954740947</v>
      </c>
      <c r="T135" s="105">
        <f t="shared" si="89"/>
        <v>1800.7912875936079</v>
      </c>
      <c r="U135" s="105">
        <f t="shared" si="89"/>
        <v>1708.4430164349612</v>
      </c>
      <c r="V135" s="105">
        <f t="shared" si="89"/>
        <v>0</v>
      </c>
      <c r="W135" s="105">
        <f t="shared" si="89"/>
        <v>0</v>
      </c>
      <c r="X135" s="105">
        <f t="shared" si="89"/>
        <v>0</v>
      </c>
      <c r="Y135" s="105">
        <f t="shared" si="89"/>
        <v>0</v>
      </c>
      <c r="Z135" s="105">
        <f t="shared" si="89"/>
        <v>0</v>
      </c>
      <c r="AA135" s="105">
        <f t="shared" si="89"/>
        <v>0</v>
      </c>
      <c r="AB135" s="105">
        <f t="shared" si="89"/>
        <v>0</v>
      </c>
      <c r="AC135" s="105">
        <f t="shared" si="89"/>
        <v>0</v>
      </c>
      <c r="AD135" s="105">
        <f t="shared" si="89"/>
        <v>0</v>
      </c>
      <c r="AE135" s="105">
        <f t="shared" si="89"/>
        <v>0</v>
      </c>
      <c r="AF135" s="105">
        <f t="shared" si="89"/>
        <v>0</v>
      </c>
    </row>
    <row r="136" spans="1:32" ht="14.25" hidden="1">
      <c r="A136" s="48"/>
      <c r="B136" s="48"/>
      <c r="C136" s="48"/>
      <c r="D136" s="48"/>
      <c r="E136" s="48"/>
      <c r="G136" s="48">
        <f t="shared" si="81"/>
        <v>96</v>
      </c>
      <c r="H136" s="48">
        <f t="shared" si="74"/>
        <v>12</v>
      </c>
      <c r="I136" s="48">
        <f t="shared" si="74"/>
        <v>8</v>
      </c>
      <c r="J136" s="48" t="str">
        <f t="shared" si="75"/>
        <v>CLU038-1208C4</v>
      </c>
      <c r="K136" s="103">
        <f t="shared" si="76"/>
        <v>35.794638769032886</v>
      </c>
      <c r="L136" s="105">
        <f t="shared" si="76"/>
        <v>3045.3612327936712</v>
      </c>
      <c r="M136" s="105">
        <f t="shared" ref="M136:P136" si="90">M76</f>
        <v>2946.5927603787413</v>
      </c>
      <c r="N136" s="105">
        <f t="shared" si="90"/>
        <v>2871.9676923319053</v>
      </c>
      <c r="O136" s="105">
        <f t="shared" si="90"/>
        <v>2774.2966473882525</v>
      </c>
      <c r="P136" s="105">
        <f t="shared" si="90"/>
        <v>2598.7082519839328</v>
      </c>
      <c r="Q136" s="105">
        <f t="shared" ref="Q136:AF136" si="91">Q76</f>
        <v>2625.0465112945808</v>
      </c>
      <c r="R136" s="105">
        <f t="shared" si="91"/>
        <v>2562.4931454317916</v>
      </c>
      <c r="S136" s="105">
        <f t="shared" si="91"/>
        <v>2475.7963752009086</v>
      </c>
      <c r="T136" s="105">
        <f t="shared" si="91"/>
        <v>2349.5922160040541</v>
      </c>
      <c r="U136" s="105">
        <f t="shared" si="91"/>
        <v>2228.8751941635842</v>
      </c>
      <c r="V136" s="105">
        <f t="shared" si="91"/>
        <v>0</v>
      </c>
      <c r="W136" s="105">
        <f t="shared" si="91"/>
        <v>0</v>
      </c>
      <c r="X136" s="105">
        <f t="shared" si="91"/>
        <v>0</v>
      </c>
      <c r="Y136" s="105">
        <f t="shared" si="91"/>
        <v>0</v>
      </c>
      <c r="Z136" s="105">
        <f t="shared" si="91"/>
        <v>0</v>
      </c>
      <c r="AA136" s="105">
        <f t="shared" si="91"/>
        <v>0</v>
      </c>
      <c r="AB136" s="105">
        <f t="shared" si="91"/>
        <v>0</v>
      </c>
      <c r="AC136" s="105">
        <f t="shared" si="91"/>
        <v>0</v>
      </c>
      <c r="AD136" s="105">
        <f t="shared" si="91"/>
        <v>0</v>
      </c>
      <c r="AE136" s="105">
        <f t="shared" si="91"/>
        <v>0</v>
      </c>
      <c r="AF136" s="105">
        <f t="shared" si="91"/>
        <v>0</v>
      </c>
    </row>
    <row r="137" spans="1:32" ht="14.25" hidden="1">
      <c r="A137" s="48"/>
      <c r="B137" s="48"/>
      <c r="C137" s="31"/>
      <c r="G137" s="48">
        <f t="shared" si="81"/>
        <v>120</v>
      </c>
      <c r="H137" s="48">
        <f t="shared" si="74"/>
        <v>12</v>
      </c>
      <c r="I137" s="48">
        <f t="shared" si="74"/>
        <v>10</v>
      </c>
      <c r="J137" s="48" t="str">
        <f t="shared" si="75"/>
        <v>CLU038-1210C4</v>
      </c>
      <c r="K137" s="103">
        <f t="shared" si="76"/>
        <v>35.787008246804334</v>
      </c>
      <c r="L137" s="105">
        <f t="shared" si="76"/>
        <v>0</v>
      </c>
      <c r="M137" s="105">
        <f t="shared" ref="M137:P137" si="92">M77</f>
        <v>0</v>
      </c>
      <c r="N137" s="105">
        <f t="shared" si="92"/>
        <v>0</v>
      </c>
      <c r="O137" s="105">
        <f t="shared" si="92"/>
        <v>0</v>
      </c>
      <c r="P137" s="105">
        <f t="shared" si="92"/>
        <v>0</v>
      </c>
      <c r="Q137" s="105">
        <f t="shared" ref="Q137:AF137" si="93">Q77</f>
        <v>0</v>
      </c>
      <c r="R137" s="105">
        <f t="shared" si="93"/>
        <v>0</v>
      </c>
      <c r="S137" s="105">
        <f t="shared" si="93"/>
        <v>0</v>
      </c>
      <c r="T137" s="105">
        <f t="shared" si="93"/>
        <v>0</v>
      </c>
      <c r="U137" s="105">
        <f t="shared" si="93"/>
        <v>0</v>
      </c>
      <c r="V137" s="105">
        <f t="shared" si="93"/>
        <v>0</v>
      </c>
      <c r="W137" s="105">
        <f t="shared" si="93"/>
        <v>0</v>
      </c>
      <c r="X137" s="105">
        <f t="shared" si="93"/>
        <v>0</v>
      </c>
      <c r="Y137" s="105">
        <f t="shared" si="93"/>
        <v>0</v>
      </c>
      <c r="Z137" s="105">
        <f t="shared" si="93"/>
        <v>0</v>
      </c>
      <c r="AA137" s="105">
        <f t="shared" si="93"/>
        <v>0</v>
      </c>
      <c r="AB137" s="105">
        <f t="shared" si="93"/>
        <v>0</v>
      </c>
      <c r="AC137" s="105">
        <f t="shared" si="93"/>
        <v>0</v>
      </c>
      <c r="AD137" s="105">
        <f t="shared" si="93"/>
        <v>0</v>
      </c>
      <c r="AE137" s="105">
        <f t="shared" si="93"/>
        <v>0</v>
      </c>
      <c r="AF137" s="105">
        <f t="shared" si="93"/>
        <v>0</v>
      </c>
    </row>
    <row r="138" spans="1:32" ht="14.25" hidden="1">
      <c r="A138" s="57"/>
      <c r="B138" s="57"/>
      <c r="C138" s="57"/>
      <c r="D138" s="62"/>
      <c r="E138" s="62"/>
      <c r="F138" s="62"/>
      <c r="G138" s="48">
        <f t="shared" ref="G138" si="94">H138*I138</f>
        <v>132</v>
      </c>
      <c r="H138" s="48">
        <f t="shared" ref="H138:I138" si="95">H78</f>
        <v>12</v>
      </c>
      <c r="I138" s="48">
        <f t="shared" si="95"/>
        <v>11</v>
      </c>
      <c r="J138" s="48" t="str">
        <f t="shared" ref="J138:J143" si="96">B10</f>
        <v>CLU048-1211C4</v>
      </c>
      <c r="K138" s="103">
        <f t="shared" ref="K138" si="97">K78</f>
        <v>35.788281741786278</v>
      </c>
      <c r="L138" s="105">
        <f t="shared" ref="L138:O143" si="98">L78</f>
        <v>0</v>
      </c>
      <c r="M138" s="105">
        <f t="shared" si="98"/>
        <v>0</v>
      </c>
      <c r="N138" s="105">
        <f t="shared" si="98"/>
        <v>0</v>
      </c>
      <c r="O138" s="105">
        <f t="shared" si="98"/>
        <v>0</v>
      </c>
      <c r="P138" s="105">
        <f t="shared" ref="P138:AF138" si="99">P78</f>
        <v>0</v>
      </c>
      <c r="Q138" s="105">
        <f t="shared" si="99"/>
        <v>0</v>
      </c>
      <c r="R138" s="105">
        <f t="shared" si="99"/>
        <v>0</v>
      </c>
      <c r="S138" s="105">
        <f t="shared" si="99"/>
        <v>0</v>
      </c>
      <c r="T138" s="105">
        <f t="shared" si="99"/>
        <v>0</v>
      </c>
      <c r="U138" s="105">
        <f t="shared" si="99"/>
        <v>0</v>
      </c>
      <c r="V138" s="105">
        <f t="shared" si="99"/>
        <v>0</v>
      </c>
      <c r="W138" s="105">
        <f t="shared" si="99"/>
        <v>0</v>
      </c>
      <c r="X138" s="105">
        <f t="shared" si="99"/>
        <v>0</v>
      </c>
      <c r="Y138" s="105">
        <f t="shared" si="99"/>
        <v>0</v>
      </c>
      <c r="Z138" s="105">
        <f t="shared" si="99"/>
        <v>0</v>
      </c>
      <c r="AA138" s="105">
        <f t="shared" si="99"/>
        <v>0</v>
      </c>
      <c r="AB138" s="105">
        <f t="shared" si="99"/>
        <v>0</v>
      </c>
      <c r="AC138" s="105">
        <f t="shared" si="99"/>
        <v>0</v>
      </c>
      <c r="AD138" s="105">
        <f t="shared" si="99"/>
        <v>0</v>
      </c>
      <c r="AE138" s="105">
        <f t="shared" si="99"/>
        <v>0</v>
      </c>
      <c r="AF138" s="105">
        <f t="shared" si="99"/>
        <v>0</v>
      </c>
    </row>
    <row r="139" spans="1:32" ht="14.25" hidden="1">
      <c r="A139" s="57"/>
      <c r="B139" s="57"/>
      <c r="C139" s="57"/>
      <c r="D139" s="62"/>
      <c r="E139" s="62"/>
      <c r="F139" s="62"/>
      <c r="G139" s="48">
        <f t="shared" si="81"/>
        <v>144</v>
      </c>
      <c r="H139" s="48">
        <f t="shared" ref="H139:I143" si="100">H79</f>
        <v>12</v>
      </c>
      <c r="I139" s="48">
        <f t="shared" si="100"/>
        <v>12</v>
      </c>
      <c r="J139" s="48" t="str">
        <f t="shared" si="96"/>
        <v>CLU048-1212C4</v>
      </c>
      <c r="K139" s="103">
        <f>K79</f>
        <v>35.794638769032886</v>
      </c>
      <c r="L139" s="105">
        <f t="shared" si="98"/>
        <v>4720.0355539623706</v>
      </c>
      <c r="M139" s="105">
        <f t="shared" si="98"/>
        <v>4567.493135454868</v>
      </c>
      <c r="N139" s="105">
        <f t="shared" si="98"/>
        <v>4451.1658234995066</v>
      </c>
      <c r="O139" s="105">
        <f t="shared" si="98"/>
        <v>4299.7208324632802</v>
      </c>
      <c r="P139" s="105">
        <f t="shared" ref="P139:AF139" si="101">P79</f>
        <v>4027.5588195865848</v>
      </c>
      <c r="Q139" s="105">
        <f t="shared" si="101"/>
        <v>4069.2610634951106</v>
      </c>
      <c r="R139" s="105">
        <f t="shared" si="101"/>
        <v>3971.5900185514579</v>
      </c>
      <c r="S139" s="105">
        <f t="shared" si="101"/>
        <v>3837.703867055664</v>
      </c>
      <c r="T139" s="105">
        <f t="shared" si="101"/>
        <v>3642.3617771683585</v>
      </c>
      <c r="U139" s="105">
        <f t="shared" si="101"/>
        <v>3454.7016795799914</v>
      </c>
      <c r="V139" s="105">
        <f t="shared" si="101"/>
        <v>0</v>
      </c>
      <c r="W139" s="105">
        <f t="shared" si="101"/>
        <v>0</v>
      </c>
      <c r="X139" s="105">
        <f t="shared" si="101"/>
        <v>0</v>
      </c>
      <c r="Y139" s="105">
        <f t="shared" si="101"/>
        <v>0</v>
      </c>
      <c r="Z139" s="105">
        <f t="shared" si="101"/>
        <v>0</v>
      </c>
      <c r="AA139" s="105">
        <f t="shared" si="101"/>
        <v>0</v>
      </c>
      <c r="AB139" s="105">
        <f t="shared" si="101"/>
        <v>0</v>
      </c>
      <c r="AC139" s="105">
        <f t="shared" si="101"/>
        <v>0</v>
      </c>
      <c r="AD139" s="105">
        <f t="shared" si="101"/>
        <v>0</v>
      </c>
      <c r="AE139" s="105">
        <f t="shared" si="101"/>
        <v>0</v>
      </c>
      <c r="AF139" s="105">
        <f t="shared" si="101"/>
        <v>0</v>
      </c>
    </row>
    <row r="140" spans="1:32" ht="14.25" hidden="1">
      <c r="G140" s="48">
        <f t="shared" si="81"/>
        <v>216</v>
      </c>
      <c r="H140" s="48">
        <f t="shared" si="100"/>
        <v>18</v>
      </c>
      <c r="I140" s="48">
        <f t="shared" si="100"/>
        <v>12</v>
      </c>
      <c r="J140" s="48" t="str">
        <f t="shared" si="96"/>
        <v>CLU048-1812C4</v>
      </c>
      <c r="K140" s="103">
        <f>K80</f>
        <v>53.651733560862233</v>
      </c>
      <c r="L140" s="105">
        <f t="shared" si="98"/>
        <v>6891.3644932647858</v>
      </c>
      <c r="M140" s="105">
        <f t="shared" si="98"/>
        <v>6668.1801216778649</v>
      </c>
      <c r="N140" s="105">
        <f t="shared" si="98"/>
        <v>6499.6978019504832</v>
      </c>
      <c r="O140" s="105">
        <f t="shared" si="98"/>
        <v>6278.7015124379441</v>
      </c>
      <c r="P140" s="105">
        <f t="shared" ref="P140:AF140" si="102">P80</f>
        <v>5880.4705749004961</v>
      </c>
      <c r="Q140" s="105">
        <f t="shared" si="102"/>
        <v>5940.6428319459892</v>
      </c>
      <c r="R140" s="105">
        <f t="shared" si="102"/>
        <v>5798.417497111187</v>
      </c>
      <c r="S140" s="105">
        <f t="shared" si="102"/>
        <v>5602.5841514540352</v>
      </c>
      <c r="T140" s="105">
        <f t="shared" si="102"/>
        <v>5317.0394407472395</v>
      </c>
      <c r="U140" s="105">
        <f t="shared" si="102"/>
        <v>5043.5291814495422</v>
      </c>
      <c r="V140" s="105">
        <f t="shared" si="102"/>
        <v>0</v>
      </c>
      <c r="W140" s="105">
        <f t="shared" si="102"/>
        <v>0</v>
      </c>
      <c r="X140" s="105">
        <f t="shared" si="102"/>
        <v>0</v>
      </c>
      <c r="Y140" s="105">
        <f t="shared" si="102"/>
        <v>0</v>
      </c>
      <c r="Z140" s="105">
        <f t="shared" si="102"/>
        <v>0</v>
      </c>
      <c r="AA140" s="105">
        <f t="shared" si="102"/>
        <v>0</v>
      </c>
      <c r="AB140" s="105">
        <f t="shared" si="102"/>
        <v>0</v>
      </c>
      <c r="AC140" s="105">
        <f t="shared" si="102"/>
        <v>0</v>
      </c>
      <c r="AD140" s="105">
        <f t="shared" si="102"/>
        <v>0</v>
      </c>
      <c r="AE140" s="105">
        <f t="shared" si="102"/>
        <v>0</v>
      </c>
      <c r="AF140" s="105">
        <f t="shared" si="102"/>
        <v>0</v>
      </c>
    </row>
    <row r="141" spans="1:32" ht="14.25" hidden="1">
      <c r="A141" s="62"/>
      <c r="B141" s="81"/>
      <c r="C141" s="81"/>
      <c r="D141" s="81"/>
      <c r="E141" s="81"/>
      <c r="F141" s="81"/>
      <c r="G141" s="48">
        <f t="shared" si="81"/>
        <v>324</v>
      </c>
      <c r="H141" s="48">
        <f t="shared" si="100"/>
        <v>18</v>
      </c>
      <c r="I141" s="48">
        <f t="shared" si="100"/>
        <v>18</v>
      </c>
      <c r="J141" s="48" t="str">
        <f t="shared" si="96"/>
        <v>CLU048-1818C4</v>
      </c>
      <c r="K141" s="103">
        <f>K81</f>
        <v>53.643054223432067</v>
      </c>
      <c r="L141" s="105">
        <f t="shared" si="98"/>
        <v>0</v>
      </c>
      <c r="M141" s="105">
        <f t="shared" si="98"/>
        <v>0</v>
      </c>
      <c r="N141" s="105">
        <f t="shared" si="98"/>
        <v>0</v>
      </c>
      <c r="O141" s="105">
        <f t="shared" si="98"/>
        <v>0</v>
      </c>
      <c r="P141" s="105">
        <f t="shared" ref="P141:AF141" si="103">P81</f>
        <v>0</v>
      </c>
      <c r="Q141" s="105">
        <f t="shared" si="103"/>
        <v>0</v>
      </c>
      <c r="R141" s="105">
        <f t="shared" si="103"/>
        <v>0</v>
      </c>
      <c r="S141" s="105">
        <f t="shared" si="103"/>
        <v>0</v>
      </c>
      <c r="T141" s="105">
        <f t="shared" si="103"/>
        <v>0</v>
      </c>
      <c r="U141" s="105">
        <f t="shared" si="103"/>
        <v>0</v>
      </c>
      <c r="V141" s="105">
        <f t="shared" si="103"/>
        <v>0</v>
      </c>
      <c r="W141" s="105">
        <f t="shared" si="103"/>
        <v>0</v>
      </c>
      <c r="X141" s="105">
        <f t="shared" si="103"/>
        <v>0</v>
      </c>
      <c r="Y141" s="105">
        <f t="shared" si="103"/>
        <v>0</v>
      </c>
      <c r="Z141" s="105">
        <f t="shared" si="103"/>
        <v>0</v>
      </c>
      <c r="AA141" s="105">
        <f t="shared" si="103"/>
        <v>0</v>
      </c>
      <c r="AB141" s="105">
        <f t="shared" si="103"/>
        <v>0</v>
      </c>
      <c r="AC141" s="105">
        <f t="shared" si="103"/>
        <v>0</v>
      </c>
      <c r="AD141" s="105">
        <f t="shared" si="103"/>
        <v>0</v>
      </c>
      <c r="AE141" s="105">
        <f t="shared" si="103"/>
        <v>0</v>
      </c>
      <c r="AF141" s="105">
        <f t="shared" si="103"/>
        <v>0</v>
      </c>
    </row>
    <row r="142" spans="1:32" ht="14.25" hidden="1">
      <c r="A142" s="62"/>
      <c r="B142" s="81"/>
      <c r="C142" s="81"/>
      <c r="D142" s="81"/>
      <c r="E142" s="81"/>
      <c r="F142" s="81"/>
      <c r="G142" s="48">
        <f t="shared" si="81"/>
        <v>450</v>
      </c>
      <c r="H142" s="48">
        <f t="shared" si="100"/>
        <v>18</v>
      </c>
      <c r="I142" s="48">
        <f t="shared" si="100"/>
        <v>25</v>
      </c>
      <c r="J142" s="48" t="str">
        <f t="shared" si="96"/>
        <v>CLU058-1825C4</v>
      </c>
      <c r="K142" s="125">
        <f>K82</f>
        <v>53.578763933908469</v>
      </c>
      <c r="L142" s="105">
        <f t="shared" si="98"/>
        <v>0</v>
      </c>
      <c r="M142" s="105">
        <f t="shared" si="98"/>
        <v>0</v>
      </c>
      <c r="N142" s="105">
        <f t="shared" si="98"/>
        <v>0</v>
      </c>
      <c r="O142" s="105">
        <f t="shared" si="98"/>
        <v>0</v>
      </c>
      <c r="P142" s="105">
        <f t="shared" ref="P142:AF142" si="104">P82</f>
        <v>0</v>
      </c>
      <c r="Q142" s="105">
        <f t="shared" si="104"/>
        <v>0</v>
      </c>
      <c r="R142" s="105">
        <f t="shared" si="104"/>
        <v>0</v>
      </c>
      <c r="S142" s="105">
        <f t="shared" si="104"/>
        <v>0</v>
      </c>
      <c r="T142" s="105">
        <f t="shared" si="104"/>
        <v>0</v>
      </c>
      <c r="U142" s="105">
        <f t="shared" si="104"/>
        <v>0</v>
      </c>
      <c r="V142" s="105">
        <f t="shared" si="104"/>
        <v>0</v>
      </c>
      <c r="W142" s="105">
        <f t="shared" si="104"/>
        <v>0</v>
      </c>
      <c r="X142" s="105">
        <f t="shared" si="104"/>
        <v>0</v>
      </c>
      <c r="Y142" s="105">
        <f t="shared" si="104"/>
        <v>0</v>
      </c>
      <c r="Z142" s="105">
        <f t="shared" si="104"/>
        <v>0</v>
      </c>
      <c r="AA142" s="105">
        <f t="shared" si="104"/>
        <v>0</v>
      </c>
      <c r="AB142" s="105">
        <f t="shared" si="104"/>
        <v>0</v>
      </c>
      <c r="AC142" s="105">
        <f t="shared" si="104"/>
        <v>0</v>
      </c>
      <c r="AD142" s="105">
        <f t="shared" si="104"/>
        <v>0</v>
      </c>
      <c r="AE142" s="105">
        <f t="shared" si="104"/>
        <v>0</v>
      </c>
      <c r="AF142" s="105">
        <f t="shared" si="104"/>
        <v>0</v>
      </c>
    </row>
    <row r="143" spans="1:32" ht="14.25" hidden="1">
      <c r="A143" s="62"/>
      <c r="B143" s="81"/>
      <c r="C143" s="81"/>
      <c r="D143" s="81"/>
      <c r="E143" s="81"/>
      <c r="F143" s="81"/>
      <c r="G143" s="48">
        <f t="shared" ref="G143" si="105">H143*I143</f>
        <v>648</v>
      </c>
      <c r="H143" s="48">
        <f t="shared" si="100"/>
        <v>36</v>
      </c>
      <c r="I143" s="48">
        <f t="shared" si="100"/>
        <v>18</v>
      </c>
      <c r="J143" s="48" t="str">
        <f t="shared" si="96"/>
        <v>CLU058-3618C4</v>
      </c>
      <c r="K143" s="103">
        <f>K83</f>
        <v>107.1279910355653</v>
      </c>
      <c r="L143" s="105">
        <f t="shared" si="98"/>
        <v>0</v>
      </c>
      <c r="M143" s="105">
        <f t="shared" si="98"/>
        <v>0</v>
      </c>
      <c r="N143" s="105">
        <f t="shared" si="98"/>
        <v>0</v>
      </c>
      <c r="O143" s="105">
        <f t="shared" si="98"/>
        <v>0</v>
      </c>
      <c r="P143" s="105">
        <f t="shared" ref="P143:AF143" si="106">P83</f>
        <v>0</v>
      </c>
      <c r="Q143" s="105">
        <f t="shared" si="106"/>
        <v>0</v>
      </c>
      <c r="R143" s="105">
        <f t="shared" si="106"/>
        <v>0</v>
      </c>
      <c r="S143" s="105">
        <f t="shared" si="106"/>
        <v>0</v>
      </c>
      <c r="T143" s="105">
        <f t="shared" si="106"/>
        <v>0</v>
      </c>
      <c r="U143" s="105">
        <f t="shared" si="106"/>
        <v>0</v>
      </c>
      <c r="V143" s="105">
        <f t="shared" si="106"/>
        <v>0</v>
      </c>
      <c r="W143" s="105">
        <f t="shared" si="106"/>
        <v>0</v>
      </c>
      <c r="X143" s="105">
        <f t="shared" si="106"/>
        <v>0</v>
      </c>
      <c r="Y143" s="105">
        <f t="shared" si="106"/>
        <v>0</v>
      </c>
      <c r="Z143" s="105">
        <f t="shared" si="106"/>
        <v>0</v>
      </c>
      <c r="AA143" s="105">
        <f t="shared" si="106"/>
        <v>0</v>
      </c>
      <c r="AB143" s="105">
        <f t="shared" si="106"/>
        <v>0</v>
      </c>
      <c r="AC143" s="105">
        <f t="shared" si="106"/>
        <v>0</v>
      </c>
      <c r="AD143" s="105">
        <f t="shared" si="106"/>
        <v>0</v>
      </c>
      <c r="AE143" s="105">
        <f t="shared" si="106"/>
        <v>0</v>
      </c>
      <c r="AF143" s="105">
        <f t="shared" si="106"/>
        <v>0</v>
      </c>
    </row>
    <row r="144" spans="1:32" ht="14.25" hidden="1">
      <c r="A144" s="62"/>
      <c r="B144" s="81"/>
      <c r="C144" s="81"/>
      <c r="D144" s="81"/>
      <c r="E144" s="81"/>
      <c r="F144" s="81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</row>
    <row r="145" spans="1:25" ht="14.25" hidden="1">
      <c r="A145" s="62"/>
      <c r="B145" s="81"/>
      <c r="C145" s="81"/>
      <c r="D145" s="81"/>
      <c r="E145" s="81"/>
      <c r="F145" s="81"/>
      <c r="G145" s="48"/>
      <c r="H145" s="48"/>
      <c r="I145" s="48"/>
      <c r="J145" s="48"/>
      <c r="K145" s="48"/>
      <c r="L145" s="48"/>
      <c r="M145" s="48"/>
      <c r="N145" s="48"/>
      <c r="O145" s="48"/>
      <c r="P145" s="66">
        <v>0.92</v>
      </c>
      <c r="Q145" s="66">
        <v>1.08</v>
      </c>
      <c r="R145" s="48"/>
      <c r="S145" s="48"/>
      <c r="T145" s="48"/>
      <c r="U145" s="48"/>
      <c r="V145" s="48"/>
      <c r="W145" s="48"/>
    </row>
    <row r="146" spans="1:25" ht="15" hidden="1">
      <c r="A146" s="62"/>
      <c r="B146" s="81"/>
      <c r="C146" s="81"/>
      <c r="D146" s="48"/>
      <c r="E146" s="48"/>
      <c r="G146" s="48"/>
      <c r="H146" s="48" t="s">
        <v>47</v>
      </c>
      <c r="I146" s="48"/>
      <c r="J146" s="48"/>
      <c r="K146" s="62" t="str">
        <f>HLOOKUP(Simulator!$C$6,Calculation!L$128:X$143,2,FALSE)</f>
        <v>5000K,Brilliant</v>
      </c>
      <c r="L146" s="62" t="s">
        <v>49</v>
      </c>
      <c r="M146" s="62" t="s">
        <v>23</v>
      </c>
      <c r="N146" s="76" t="s">
        <v>46</v>
      </c>
      <c r="O146" s="62" t="s">
        <v>70</v>
      </c>
      <c r="P146" s="117" t="s">
        <v>66</v>
      </c>
      <c r="Q146" s="117" t="s">
        <v>68</v>
      </c>
      <c r="R146" s="76" t="s">
        <v>51</v>
      </c>
      <c r="S146" s="75" t="s">
        <v>28</v>
      </c>
      <c r="T146" s="75"/>
      <c r="U146" s="75" t="s">
        <v>22</v>
      </c>
      <c r="V146" s="62" t="s">
        <v>52</v>
      </c>
      <c r="W146" s="62" t="s">
        <v>125</v>
      </c>
      <c r="X146" s="75" t="s">
        <v>8</v>
      </c>
      <c r="Y146" s="48"/>
    </row>
    <row r="147" spans="1:25" ht="15" hidden="1">
      <c r="A147" s="62"/>
      <c r="B147" s="81"/>
      <c r="C147" s="81"/>
      <c r="D147" s="48"/>
      <c r="E147" s="48"/>
      <c r="G147" s="48"/>
      <c r="H147" s="55">
        <f t="shared" ref="H147:H160" si="107">K147/G130</f>
        <v>0</v>
      </c>
      <c r="I147" s="48"/>
      <c r="J147" s="48" t="str">
        <f t="shared" ref="J147:J154" si="108">B2</f>
        <v>CLU028-1201C4</v>
      </c>
      <c r="K147" s="54">
        <f>HLOOKUP(Simulator!$C$6,Calculation!L$128:AF$143,3,FALSE)</f>
        <v>0</v>
      </c>
      <c r="L147" s="78">
        <f t="shared" ref="L147:L160" si="109">E$133/I130</f>
        <v>90</v>
      </c>
      <c r="M147" s="78">
        <f t="shared" ref="M147:M160" si="110">(B$129*$L147^3+B$130*$L147^2+B$131*$L147+B$132)*K147</f>
        <v>0</v>
      </c>
      <c r="N147" s="79">
        <f>($E$129*$E$135^3+$E$130*$E$135^2+$E$131*$E$135+$E$132)*M147</f>
        <v>0</v>
      </c>
      <c r="O147" s="78">
        <f t="shared" ref="O147:O160" si="111">(D$129*$L147^2+D$130*$L147+D$131)*K130</f>
        <v>35.87874495285147</v>
      </c>
      <c r="P147" s="118">
        <f>R147*$P$145</f>
        <v>33.008445355942108</v>
      </c>
      <c r="Q147" s="118">
        <f>R147*$Q$145</f>
        <v>38.749044548279869</v>
      </c>
      <c r="R147" s="79">
        <f t="shared" ref="R147:R160" si="112">(F$129*$E$135^2+F$130*$E$135+F$131)*O147</f>
        <v>35.878744952110985</v>
      </c>
      <c r="S147" s="80">
        <f t="shared" ref="S147:S160" si="113">(L147*I70)*R147/1000</f>
        <v>3.2290870456899889</v>
      </c>
      <c r="T147" s="80"/>
      <c r="U147" s="80">
        <f t="shared" ref="U147" si="114">N147/S147</f>
        <v>0</v>
      </c>
      <c r="V147" s="48">
        <f t="shared" ref="V147:V154" si="115">V87</f>
        <v>2.73</v>
      </c>
      <c r="W147" s="55">
        <f t="shared" ref="W147" si="116">S147*V147</f>
        <v>8.8154076347336705</v>
      </c>
      <c r="X147" s="80">
        <f t="shared" ref="X147:X160" si="117">E$135+W147</f>
        <v>33.815407634733674</v>
      </c>
      <c r="Y147" s="48"/>
    </row>
    <row r="148" spans="1:25" ht="15" hidden="1">
      <c r="A148" s="48"/>
      <c r="B148" s="48"/>
      <c r="C148" s="48"/>
      <c r="D148" s="48"/>
      <c r="E148" s="70"/>
      <c r="G148" s="48"/>
      <c r="H148" s="55">
        <f t="shared" si="107"/>
        <v>0</v>
      </c>
      <c r="I148" s="48"/>
      <c r="J148" s="48" t="str">
        <f t="shared" si="108"/>
        <v>CLU028-1202C4</v>
      </c>
      <c r="K148" s="54">
        <f>HLOOKUP(Simulator!$C$6,Calculation!L$128:AF$143,4,FALSE)</f>
        <v>0</v>
      </c>
      <c r="L148" s="78">
        <f t="shared" si="109"/>
        <v>45</v>
      </c>
      <c r="M148" s="78">
        <f t="shared" si="110"/>
        <v>0</v>
      </c>
      <c r="N148" s="79">
        <f t="shared" ref="N148:N159" si="118">($E$129*$E$135^3+$E$130*$E$135^2+$E$131*$E$135+$E$132)*M148</f>
        <v>0</v>
      </c>
      <c r="O148" s="78">
        <f t="shared" si="111"/>
        <v>34.05828654798399</v>
      </c>
      <c r="P148" s="118">
        <f t="shared" ref="P148:P160" si="119">R148*$P$145</f>
        <v>31.333623623498585</v>
      </c>
      <c r="Q148" s="118">
        <f t="shared" ref="Q148:Q160" si="120">R148*$Q$145</f>
        <v>36.78294947106356</v>
      </c>
      <c r="R148" s="79">
        <f t="shared" si="112"/>
        <v>34.058286547281071</v>
      </c>
      <c r="S148" s="80">
        <f t="shared" si="113"/>
        <v>3.0652457892552967</v>
      </c>
      <c r="T148" s="80"/>
      <c r="U148" s="80">
        <f t="shared" ref="U148:U159" si="121">N148/S148</f>
        <v>0</v>
      </c>
      <c r="V148" s="48">
        <f t="shared" si="115"/>
        <v>1.56</v>
      </c>
      <c r="W148" s="55">
        <f t="shared" ref="W148:W159" si="122">S148*V148</f>
        <v>4.7817834312382628</v>
      </c>
      <c r="X148" s="80">
        <f t="shared" si="117"/>
        <v>29.781783431238264</v>
      </c>
      <c r="Y148" s="48"/>
    </row>
    <row r="149" spans="1:25" ht="15" hidden="1">
      <c r="A149" s="48"/>
      <c r="B149" s="65"/>
      <c r="C149" s="65"/>
      <c r="D149" s="48"/>
      <c r="E149" s="48"/>
      <c r="G149" s="48"/>
      <c r="H149" s="55">
        <f t="shared" si="107"/>
        <v>0</v>
      </c>
      <c r="I149" s="48"/>
      <c r="J149" s="48" t="str">
        <f t="shared" si="108"/>
        <v>CLU028-1203C4</v>
      </c>
      <c r="K149" s="54">
        <f>HLOOKUP(Simulator!$C$6,Calculation!L$128:AF$143,5,FALSE)</f>
        <v>0</v>
      </c>
      <c r="L149" s="78">
        <f t="shared" si="109"/>
        <v>30</v>
      </c>
      <c r="M149" s="78">
        <f t="shared" si="110"/>
        <v>0</v>
      </c>
      <c r="N149" s="79">
        <f t="shared" si="118"/>
        <v>0</v>
      </c>
      <c r="O149" s="78">
        <f t="shared" si="111"/>
        <v>33.392677857473309</v>
      </c>
      <c r="P149" s="118">
        <f t="shared" si="119"/>
        <v>30.721263628241402</v>
      </c>
      <c r="Q149" s="118">
        <f t="shared" si="120"/>
        <v>36.064092085326863</v>
      </c>
      <c r="R149" s="79">
        <f t="shared" si="112"/>
        <v>33.392677856784132</v>
      </c>
      <c r="S149" s="80">
        <f t="shared" si="113"/>
        <v>3.0053410071105717</v>
      </c>
      <c r="T149" s="80"/>
      <c r="U149" s="80">
        <f t="shared" si="121"/>
        <v>0</v>
      </c>
      <c r="V149" s="48">
        <f t="shared" si="115"/>
        <v>1.1100000000000001</v>
      </c>
      <c r="W149" s="55">
        <f t="shared" si="122"/>
        <v>3.3359285178927349</v>
      </c>
      <c r="X149" s="80">
        <f t="shared" si="117"/>
        <v>28.335928517892736</v>
      </c>
      <c r="Y149" s="48"/>
    </row>
    <row r="150" spans="1:25" ht="15" hidden="1">
      <c r="A150" s="48"/>
      <c r="B150" s="55"/>
      <c r="C150" s="86"/>
      <c r="D150" s="48"/>
      <c r="E150" s="87"/>
      <c r="G150" s="48"/>
      <c r="H150" s="55">
        <f t="shared" si="107"/>
        <v>27.043973833451162</v>
      </c>
      <c r="I150" s="48"/>
      <c r="J150" s="48" t="str">
        <f t="shared" si="108"/>
        <v>CLU028-1204C4</v>
      </c>
      <c r="K150" s="54">
        <f>HLOOKUP(Simulator!$C$6,Calculation!L$128:AF$143,6,FALSE)</f>
        <v>1298.1107440056558</v>
      </c>
      <c r="L150" s="78">
        <f t="shared" si="109"/>
        <v>22.5</v>
      </c>
      <c r="M150" s="78">
        <f t="shared" si="110"/>
        <v>348.16650920519714</v>
      </c>
      <c r="N150" s="79">
        <f t="shared" si="118"/>
        <v>348.16650920055224</v>
      </c>
      <c r="O150" s="78">
        <f t="shared" si="111"/>
        <v>33.037959959724454</v>
      </c>
      <c r="P150" s="118">
        <f t="shared" si="119"/>
        <v>30.394923162319188</v>
      </c>
      <c r="Q150" s="118">
        <f t="shared" si="120"/>
        <v>35.680996755766003</v>
      </c>
      <c r="R150" s="79">
        <f t="shared" si="112"/>
        <v>33.037959959042595</v>
      </c>
      <c r="S150" s="80">
        <f t="shared" si="113"/>
        <v>2.9734163963138336</v>
      </c>
      <c r="T150" s="80"/>
      <c r="U150" s="80">
        <f t="shared" si="121"/>
        <v>117.09308848642149</v>
      </c>
      <c r="V150" s="48">
        <f t="shared" si="115"/>
        <v>0.91</v>
      </c>
      <c r="W150" s="55">
        <f t="shared" si="122"/>
        <v>2.7058089206455889</v>
      </c>
      <c r="X150" s="80">
        <f t="shared" si="117"/>
        <v>27.705808920645588</v>
      </c>
      <c r="Y150" s="48"/>
    </row>
    <row r="151" spans="1:25" ht="15" hidden="1">
      <c r="A151" s="48"/>
      <c r="B151" s="66"/>
      <c r="C151" s="73"/>
      <c r="D151" s="48"/>
      <c r="E151" s="48"/>
      <c r="F151" s="48"/>
      <c r="G151" s="48"/>
      <c r="H151" s="55">
        <f t="shared" si="107"/>
        <v>0</v>
      </c>
      <c r="I151" s="48"/>
      <c r="J151" s="48" t="str">
        <f t="shared" si="108"/>
        <v>CLU038-1205C4</v>
      </c>
      <c r="K151" s="54">
        <f>HLOOKUP(Simulator!$C$6,Calculation!L$128:AF$143,7,FALSE)</f>
        <v>0</v>
      </c>
      <c r="L151" s="78">
        <f t="shared" si="109"/>
        <v>18</v>
      </c>
      <c r="M151" s="78">
        <f t="shared" si="110"/>
        <v>0</v>
      </c>
      <c r="N151" s="79">
        <f t="shared" si="118"/>
        <v>0</v>
      </c>
      <c r="O151" s="78">
        <f t="shared" si="111"/>
        <v>32.834971774577248</v>
      </c>
      <c r="P151" s="118">
        <f t="shared" si="119"/>
        <v>30.208174031987618</v>
      </c>
      <c r="Q151" s="118">
        <f t="shared" si="120"/>
        <v>35.461769515811554</v>
      </c>
      <c r="R151" s="79">
        <f t="shared" si="112"/>
        <v>32.834971773899582</v>
      </c>
      <c r="S151" s="80">
        <f t="shared" si="113"/>
        <v>2.9551474596509624</v>
      </c>
      <c r="T151" s="80"/>
      <c r="U151" s="80">
        <f t="shared" si="121"/>
        <v>0</v>
      </c>
      <c r="V151" s="48">
        <f t="shared" si="115"/>
        <v>0.72</v>
      </c>
      <c r="W151" s="55">
        <f t="shared" si="122"/>
        <v>2.1277061709486929</v>
      </c>
      <c r="X151" s="80">
        <f t="shared" si="117"/>
        <v>27.127706170948692</v>
      </c>
      <c r="Y151" s="48"/>
    </row>
    <row r="152" spans="1:25" ht="15" hidden="1">
      <c r="A152" s="48"/>
      <c r="B152" s="48"/>
      <c r="C152" s="48"/>
      <c r="D152" s="48"/>
      <c r="E152" s="48"/>
      <c r="F152" s="48"/>
      <c r="G152" s="48"/>
      <c r="H152" s="55">
        <f t="shared" si="107"/>
        <v>27.942681253360316</v>
      </c>
      <c r="I152" s="48"/>
      <c r="J152" s="48" t="str">
        <f t="shared" si="108"/>
        <v>CLU038-1206C4</v>
      </c>
      <c r="K152" s="54">
        <f>HLOOKUP(Simulator!$C$6,Calculation!L$128:AF$143,8,FALSE)</f>
        <v>2011.8730502419428</v>
      </c>
      <c r="L152" s="78">
        <f t="shared" si="109"/>
        <v>15</v>
      </c>
      <c r="M152" s="78">
        <f>(B$129*$L152^3+B$130*$L152^2+B$131*$L152+B$132)*K152</f>
        <v>363.54328205340886</v>
      </c>
      <c r="N152" s="79">
        <f t="shared" si="118"/>
        <v>363.54328204855881</v>
      </c>
      <c r="O152" s="78">
        <f t="shared" si="111"/>
        <v>32.6829717793361</v>
      </c>
      <c r="P152" s="118">
        <f t="shared" si="119"/>
        <v>30.068334036368643</v>
      </c>
      <c r="Q152" s="118">
        <f t="shared" si="120"/>
        <v>35.297609520954495</v>
      </c>
      <c r="R152" s="79">
        <f t="shared" si="112"/>
        <v>32.682971778661567</v>
      </c>
      <c r="S152" s="80">
        <f t="shared" si="113"/>
        <v>2.941467460079541</v>
      </c>
      <c r="T152" s="80"/>
      <c r="U152" s="80">
        <f t="shared" si="121"/>
        <v>123.59248809732817</v>
      </c>
      <c r="V152" s="48">
        <f t="shared" si="115"/>
        <v>0.64</v>
      </c>
      <c r="W152" s="55">
        <f t="shared" si="122"/>
        <v>1.8825391744509063</v>
      </c>
      <c r="X152" s="80">
        <f t="shared" si="117"/>
        <v>26.882539174450905</v>
      </c>
      <c r="Y152" s="48"/>
    </row>
    <row r="153" spans="1:25" ht="15" hidden="1">
      <c r="A153" s="48"/>
      <c r="B153" s="48"/>
      <c r="C153" s="48"/>
      <c r="D153" s="48"/>
      <c r="E153" s="48"/>
      <c r="F153" s="48"/>
      <c r="G153" s="48"/>
      <c r="H153" s="55">
        <f t="shared" si="107"/>
        <v>27.344234492651882</v>
      </c>
      <c r="I153" s="48"/>
      <c r="J153" s="48" t="str">
        <f t="shared" si="108"/>
        <v>CLU038-1208C4</v>
      </c>
      <c r="K153" s="54">
        <f>HLOOKUP(Simulator!$C$6,Calculation!L$128:AF$143,9,FALSE)</f>
        <v>2625.0465112945808</v>
      </c>
      <c r="L153" s="78">
        <f t="shared" si="109"/>
        <v>11.25</v>
      </c>
      <c r="M153" s="78">
        <f t="shared" si="110"/>
        <v>358.17335192304768</v>
      </c>
      <c r="N153" s="79">
        <f t="shared" si="118"/>
        <v>358.17335191826925</v>
      </c>
      <c r="O153" s="78">
        <f t="shared" si="111"/>
        <v>32.494933406732194</v>
      </c>
      <c r="P153" s="118">
        <f t="shared" si="119"/>
        <v>29.895338733576619</v>
      </c>
      <c r="Q153" s="118">
        <f t="shared" si="120"/>
        <v>35.094528078546467</v>
      </c>
      <c r="R153" s="79">
        <f t="shared" si="112"/>
        <v>32.494933406061541</v>
      </c>
      <c r="S153" s="80">
        <f t="shared" si="113"/>
        <v>2.9245440065455388</v>
      </c>
      <c r="T153" s="80"/>
      <c r="U153" s="80">
        <f t="shared" si="121"/>
        <v>122.47152072823222</v>
      </c>
      <c r="V153" s="48">
        <f t="shared" si="115"/>
        <v>0.51</v>
      </c>
      <c r="W153" s="55">
        <f t="shared" si="122"/>
        <v>1.4915174433382248</v>
      </c>
      <c r="X153" s="80">
        <f t="shared" si="117"/>
        <v>26.491517443338225</v>
      </c>
      <c r="Y153" s="48"/>
    </row>
    <row r="154" spans="1:25" ht="15" hidden="1">
      <c r="A154" s="48"/>
      <c r="B154" s="48"/>
      <c r="C154" s="48"/>
      <c r="D154" s="48"/>
      <c r="E154" s="48"/>
      <c r="F154" s="48"/>
      <c r="G154" s="48"/>
      <c r="H154" s="55">
        <f t="shared" si="107"/>
        <v>0</v>
      </c>
      <c r="I154" s="48"/>
      <c r="J154" s="48" t="str">
        <f t="shared" si="108"/>
        <v>CLU038-1210C4</v>
      </c>
      <c r="K154" s="54">
        <f>HLOOKUP(Simulator!$C$6,Calculation!L$128:AF$143,10,FALSE)</f>
        <v>0</v>
      </c>
      <c r="L154" s="78">
        <f t="shared" si="109"/>
        <v>9</v>
      </c>
      <c r="M154" s="78">
        <f t="shared" si="110"/>
        <v>0</v>
      </c>
      <c r="N154" s="79">
        <f t="shared" si="118"/>
        <v>0</v>
      </c>
      <c r="O154" s="78">
        <f t="shared" si="111"/>
        <v>32.382703177266592</v>
      </c>
      <c r="P154" s="118">
        <f t="shared" si="119"/>
        <v>29.792086922470396</v>
      </c>
      <c r="Q154" s="118">
        <f t="shared" si="120"/>
        <v>34.973319430726121</v>
      </c>
      <c r="R154" s="79">
        <f t="shared" si="112"/>
        <v>32.382703176598255</v>
      </c>
      <c r="S154" s="80">
        <f t="shared" si="113"/>
        <v>2.9144432858938432</v>
      </c>
      <c r="T154" s="80"/>
      <c r="U154" s="80">
        <f t="shared" si="121"/>
        <v>0</v>
      </c>
      <c r="V154" s="48">
        <f t="shared" si="115"/>
        <v>0.42</v>
      </c>
      <c r="W154" s="55">
        <f t="shared" si="122"/>
        <v>1.224066180075414</v>
      </c>
      <c r="X154" s="80">
        <f t="shared" si="117"/>
        <v>26.224066180075415</v>
      </c>
      <c r="Y154" s="48"/>
    </row>
    <row r="155" spans="1:25" ht="15" hidden="1">
      <c r="A155" s="48"/>
      <c r="B155" s="48"/>
      <c r="C155" s="48"/>
      <c r="D155" s="48"/>
      <c r="E155" s="48"/>
      <c r="F155" s="48"/>
      <c r="G155" s="48"/>
      <c r="H155" s="55">
        <f t="shared" si="107"/>
        <v>0</v>
      </c>
      <c r="I155" s="48"/>
      <c r="J155" s="48" t="str">
        <f t="shared" ref="J155:J160" si="123">B10</f>
        <v>CLU048-1211C4</v>
      </c>
      <c r="K155" s="54">
        <f>HLOOKUP(Simulator!$C$6,Calculation!L$128:AF$143,11,FALSE)</f>
        <v>0</v>
      </c>
      <c r="L155" s="78">
        <f t="shared" si="109"/>
        <v>8.1818181818181817</v>
      </c>
      <c r="M155" s="78">
        <f t="shared" ref="M155" si="124">(B$129*$L155^3+B$130*$L155^2+B$131*$L155+B$132)*K155</f>
        <v>0</v>
      </c>
      <c r="N155" s="79">
        <f t="shared" ref="N155" si="125">($E$129*$E$135^3+$E$130*$E$135^2+$E$131*$E$135+$E$132)*M155</f>
        <v>0</v>
      </c>
      <c r="O155" s="78">
        <f t="shared" si="111"/>
        <v>32.345409968594318</v>
      </c>
      <c r="P155" s="118">
        <f t="shared" ref="P155" si="126">R155*$P$145</f>
        <v>29.757777170492616</v>
      </c>
      <c r="Q155" s="118">
        <f t="shared" ref="Q155" si="127">R155*$Q$145</f>
        <v>34.933042765360895</v>
      </c>
      <c r="R155" s="79">
        <f t="shared" ref="R155" si="128">(F$129*$E$135^2+F$130*$E$135+F$131)*O155</f>
        <v>32.345409967926756</v>
      </c>
      <c r="S155" s="80">
        <f t="shared" si="113"/>
        <v>2.9110868971134081</v>
      </c>
      <c r="T155" s="80"/>
      <c r="U155" s="80">
        <f t="shared" ref="U155" si="129">N155/S155</f>
        <v>0</v>
      </c>
      <c r="V155" s="48">
        <f t="shared" ref="V155:V160" si="130">V95</f>
        <v>0.38</v>
      </c>
      <c r="W155" s="55">
        <f t="shared" ref="W155" si="131">S155*V155</f>
        <v>1.1062130209030951</v>
      </c>
      <c r="X155" s="80">
        <f t="shared" ref="X155" si="132">E$135+W155</f>
        <v>26.106213020903095</v>
      </c>
      <c r="Y155" s="48"/>
    </row>
    <row r="156" spans="1:25" ht="15" hidden="1">
      <c r="A156" s="48"/>
      <c r="B156" s="48"/>
      <c r="C156" s="48"/>
      <c r="D156" s="48"/>
      <c r="E156" s="48"/>
      <c r="F156" s="48"/>
      <c r="G156" s="48"/>
      <c r="H156" s="55">
        <f t="shared" si="107"/>
        <v>28.258757385382712</v>
      </c>
      <c r="I156" s="48"/>
      <c r="J156" s="48" t="str">
        <f t="shared" si="123"/>
        <v>CLU048-1212C4</v>
      </c>
      <c r="K156" s="54">
        <f>HLOOKUP(Simulator!$C$6,Calculation!L$128:AF$143,12,FALSE)</f>
        <v>4069.2610634951106</v>
      </c>
      <c r="L156" s="78">
        <f t="shared" si="109"/>
        <v>7.5</v>
      </c>
      <c r="M156" s="78">
        <f t="shared" si="110"/>
        <v>373.7758056671621</v>
      </c>
      <c r="N156" s="79">
        <f t="shared" si="118"/>
        <v>373.77580566217551</v>
      </c>
      <c r="O156" s="78">
        <f t="shared" si="111"/>
        <v>32.319049785948486</v>
      </c>
      <c r="P156" s="118">
        <f t="shared" si="119"/>
        <v>29.733525802458949</v>
      </c>
      <c r="Q156" s="118">
        <f t="shared" si="120"/>
        <v>34.904573768103987</v>
      </c>
      <c r="R156" s="79">
        <f t="shared" si="112"/>
        <v>32.319049785281464</v>
      </c>
      <c r="S156" s="80">
        <f t="shared" si="113"/>
        <v>2.9087144806753318</v>
      </c>
      <c r="T156" s="80"/>
      <c r="U156" s="80">
        <f t="shared" si="121"/>
        <v>128.50206101198148</v>
      </c>
      <c r="V156" s="48">
        <f t="shared" si="130"/>
        <v>0.34</v>
      </c>
      <c r="W156" s="55">
        <f t="shared" si="122"/>
        <v>0.98896292342961289</v>
      </c>
      <c r="X156" s="80">
        <f t="shared" si="117"/>
        <v>25.988962923429614</v>
      </c>
      <c r="Y156" s="48"/>
    </row>
    <row r="157" spans="1:25" ht="15" hidden="1">
      <c r="A157" s="48"/>
      <c r="B157" s="48"/>
      <c r="C157" s="48"/>
      <c r="D157" s="48"/>
      <c r="E157" s="48"/>
      <c r="F157" s="48"/>
      <c r="G157" s="48"/>
      <c r="H157" s="55">
        <f t="shared" si="107"/>
        <v>27.502976073824023</v>
      </c>
      <c r="I157" s="48"/>
      <c r="J157" s="48" t="str">
        <f t="shared" si="123"/>
        <v>CLU048-1812C4</v>
      </c>
      <c r="K157" s="54">
        <f>HLOOKUP(Simulator!$C$6,Calculation!L$128:AF$143,13,FALSE)</f>
        <v>5940.6428319459892</v>
      </c>
      <c r="L157" s="78">
        <f t="shared" si="109"/>
        <v>7.5</v>
      </c>
      <c r="M157" s="78">
        <f t="shared" si="110"/>
        <v>545.66874084610606</v>
      </c>
      <c r="N157" s="79">
        <f t="shared" si="118"/>
        <v>545.66874083882624</v>
      </c>
      <c r="O157" s="78">
        <f t="shared" si="111"/>
        <v>48.442255815026321</v>
      </c>
      <c r="P157" s="118">
        <f t="shared" si="119"/>
        <v>44.566875348904418</v>
      </c>
      <c r="Q157" s="118">
        <f t="shared" si="120"/>
        <v>52.317636279148665</v>
      </c>
      <c r="R157" s="79">
        <f t="shared" si="112"/>
        <v>48.442255814026538</v>
      </c>
      <c r="S157" s="80">
        <f t="shared" si="113"/>
        <v>4.3598030232623888</v>
      </c>
      <c r="T157" s="80"/>
      <c r="U157" s="80">
        <f t="shared" si="121"/>
        <v>125.15903538011422</v>
      </c>
      <c r="V157" s="48">
        <f t="shared" si="130"/>
        <v>0.25</v>
      </c>
      <c r="W157" s="55">
        <f t="shared" si="122"/>
        <v>1.0899507558155972</v>
      </c>
      <c r="X157" s="80">
        <f t="shared" si="117"/>
        <v>26.089950755815597</v>
      </c>
      <c r="Y157" s="64"/>
    </row>
    <row r="158" spans="1:25" ht="15" hidden="1">
      <c r="A158" s="48"/>
      <c r="B158" s="48"/>
      <c r="C158" s="48"/>
      <c r="D158" s="48"/>
      <c r="E158" s="48"/>
      <c r="F158" s="48"/>
      <c r="G158" s="48"/>
      <c r="H158" s="55">
        <f t="shared" si="107"/>
        <v>0</v>
      </c>
      <c r="I158" s="48"/>
      <c r="J158" s="48" t="str">
        <f t="shared" si="123"/>
        <v>CLU048-1818C4</v>
      </c>
      <c r="K158" s="54">
        <f>HLOOKUP(Simulator!$C$6,Calculation!L$128:AF$143,14,FALSE)</f>
        <v>0</v>
      </c>
      <c r="L158" s="78">
        <f t="shared" si="109"/>
        <v>5</v>
      </c>
      <c r="M158" s="78">
        <f t="shared" si="110"/>
        <v>0</v>
      </c>
      <c r="N158" s="79">
        <f t="shared" si="118"/>
        <v>0</v>
      </c>
      <c r="O158" s="78">
        <f t="shared" si="111"/>
        <v>48.257276278826538</v>
      </c>
      <c r="P158" s="118">
        <f t="shared" si="119"/>
        <v>44.396694175604132</v>
      </c>
      <c r="Q158" s="118">
        <f t="shared" si="120"/>
        <v>52.117858380057029</v>
      </c>
      <c r="R158" s="79">
        <f t="shared" si="112"/>
        <v>48.257276277830577</v>
      </c>
      <c r="S158" s="80">
        <f t="shared" si="113"/>
        <v>4.3431548650047516</v>
      </c>
      <c r="T158" s="80"/>
      <c r="U158" s="80">
        <f t="shared" si="121"/>
        <v>0</v>
      </c>
      <c r="V158" s="48">
        <f t="shared" si="130"/>
        <v>0.17</v>
      </c>
      <c r="W158" s="55">
        <f t="shared" si="122"/>
        <v>0.73833632705080787</v>
      </c>
      <c r="X158" s="80">
        <f t="shared" si="117"/>
        <v>25.738336327050806</v>
      </c>
      <c r="Y158" s="48"/>
    </row>
    <row r="159" spans="1:25" ht="15" hidden="1">
      <c r="A159" s="48"/>
      <c r="B159" s="48"/>
      <c r="C159" s="48"/>
      <c r="D159" s="48"/>
      <c r="E159" s="48"/>
      <c r="F159" s="48"/>
      <c r="G159" s="48"/>
      <c r="H159" s="55">
        <f t="shared" si="107"/>
        <v>0</v>
      </c>
      <c r="I159" s="48"/>
      <c r="J159" s="48" t="str">
        <f t="shared" si="123"/>
        <v>CLU058-1825C4</v>
      </c>
      <c r="K159" s="54">
        <f>HLOOKUP(Simulator!$C$6,Calculation!L$128:AF$143,15,FALSE)</f>
        <v>0</v>
      </c>
      <c r="L159" s="78">
        <f t="shared" si="109"/>
        <v>3.6</v>
      </c>
      <c r="M159" s="78">
        <f t="shared" si="110"/>
        <v>0</v>
      </c>
      <c r="N159" s="79">
        <f t="shared" si="118"/>
        <v>0</v>
      </c>
      <c r="O159" s="78">
        <f t="shared" si="111"/>
        <v>48.099864149047342</v>
      </c>
      <c r="P159" s="118">
        <f t="shared" si="119"/>
        <v>44.251875016210263</v>
      </c>
      <c r="Q159" s="118">
        <f t="shared" si="120"/>
        <v>51.947853279899</v>
      </c>
      <c r="R159" s="79">
        <f t="shared" si="112"/>
        <v>48.099864148054628</v>
      </c>
      <c r="S159" s="80">
        <f t="shared" si="113"/>
        <v>4.3289877733249167</v>
      </c>
      <c r="T159" s="80"/>
      <c r="U159" s="80">
        <f t="shared" si="121"/>
        <v>0</v>
      </c>
      <c r="V159" s="48">
        <f t="shared" si="130"/>
        <v>0.14000000000000001</v>
      </c>
      <c r="W159" s="55">
        <f t="shared" si="122"/>
        <v>0.60605828826548835</v>
      </c>
      <c r="X159" s="80">
        <f t="shared" si="117"/>
        <v>25.606058288265487</v>
      </c>
      <c r="Y159" s="64"/>
    </row>
    <row r="160" spans="1:25" ht="15" hidden="1">
      <c r="A160" s="48"/>
      <c r="B160" s="48"/>
      <c r="C160" s="48"/>
      <c r="D160" s="48"/>
      <c r="E160" s="48"/>
      <c r="F160" s="48"/>
      <c r="G160" s="48"/>
      <c r="H160" s="55">
        <f t="shared" si="107"/>
        <v>0</v>
      </c>
      <c r="I160" s="48"/>
      <c r="J160" s="48" t="str">
        <f t="shared" si="123"/>
        <v>CLU058-3618C4</v>
      </c>
      <c r="K160" s="54">
        <f>HLOOKUP(Simulator!$C$6,Calculation!L$128:AF$143,16,FALSE)</f>
        <v>0</v>
      </c>
      <c r="L160" s="78">
        <f t="shared" si="109"/>
        <v>5</v>
      </c>
      <c r="M160" s="78">
        <f t="shared" si="110"/>
        <v>0</v>
      </c>
      <c r="N160" s="79">
        <f>($E$129*$E$135^3+$E$130*$E$135^2+$E$131*$E$135+$E$132)*M160</f>
        <v>0</v>
      </c>
      <c r="O160" s="78">
        <f t="shared" si="111"/>
        <v>96.372310179548364</v>
      </c>
      <c r="P160" s="118">
        <f t="shared" si="119"/>
        <v>88.662525363354618</v>
      </c>
      <c r="Q160" s="118">
        <f t="shared" si="120"/>
        <v>104.08209499176412</v>
      </c>
      <c r="R160" s="79">
        <f t="shared" si="112"/>
        <v>96.37231017755937</v>
      </c>
      <c r="S160" s="80">
        <f t="shared" si="113"/>
        <v>8.673507915980343</v>
      </c>
      <c r="T160" s="80"/>
      <c r="U160" s="80">
        <f t="shared" ref="U160" si="133">N160/S160</f>
        <v>0</v>
      </c>
      <c r="V160" s="48">
        <f t="shared" si="130"/>
        <v>0.1</v>
      </c>
      <c r="W160" s="55">
        <f t="shared" ref="W160" si="134">S160*V160</f>
        <v>0.8673507915980343</v>
      </c>
      <c r="X160" s="80">
        <f t="shared" si="117"/>
        <v>25.867350791598035</v>
      </c>
      <c r="Y160" s="64"/>
    </row>
    <row r="161" spans="1:24" ht="14.25" hidden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</row>
    <row r="162" spans="1:24" ht="15" hidden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55"/>
      <c r="L162" s="55"/>
      <c r="M162" s="55"/>
      <c r="N162" s="48"/>
      <c r="O162" s="78"/>
      <c r="P162" s="75" t="s">
        <v>6</v>
      </c>
      <c r="Q162" s="75" t="s">
        <v>5</v>
      </c>
      <c r="R162" s="75"/>
      <c r="S162" s="75"/>
      <c r="T162" s="75"/>
      <c r="U162" s="48"/>
      <c r="V162" s="48"/>
      <c r="W162" s="48"/>
    </row>
    <row r="163" spans="1:24" ht="15" hidden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55"/>
      <c r="L163" s="55"/>
      <c r="M163" s="55"/>
      <c r="N163" s="48"/>
      <c r="O163" s="78"/>
      <c r="P163" s="53"/>
      <c r="Q163" s="53">
        <f>$C$52</f>
        <v>5</v>
      </c>
      <c r="R163" s="53"/>
      <c r="S163" s="53"/>
      <c r="T163" s="53"/>
      <c r="U163" s="48"/>
      <c r="V163" s="48"/>
      <c r="W163" s="48"/>
    </row>
    <row r="164" spans="1:24" ht="15" hidden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55"/>
      <c r="L164" s="55"/>
      <c r="M164" s="55"/>
      <c r="N164" s="48"/>
      <c r="O164" s="78"/>
      <c r="P164" s="53"/>
      <c r="Q164" s="53"/>
      <c r="R164" s="53"/>
      <c r="S164" s="53"/>
      <c r="T164" s="53"/>
      <c r="U164" s="48"/>
      <c r="V164" s="48"/>
      <c r="W164" s="48"/>
    </row>
    <row r="165" spans="1:24" ht="15" hidden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55"/>
      <c r="L165" s="55"/>
      <c r="M165" s="55"/>
      <c r="N165" s="48"/>
      <c r="O165" s="78"/>
      <c r="P165" s="75" t="s">
        <v>61</v>
      </c>
      <c r="Q165" s="75" t="s">
        <v>4</v>
      </c>
      <c r="R165" s="75"/>
      <c r="S165" s="75" t="s">
        <v>5</v>
      </c>
      <c r="T165" s="53"/>
      <c r="U165" s="48"/>
      <c r="V165" s="48"/>
      <c r="W165" s="48"/>
    </row>
    <row r="166" spans="1:24" ht="15" hidden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55"/>
      <c r="L166" s="55"/>
      <c r="M166" s="55"/>
      <c r="N166" s="48"/>
      <c r="O166" s="78"/>
      <c r="P166" s="53"/>
      <c r="Q166" s="53">
        <f>$C$54</f>
        <v>105</v>
      </c>
      <c r="R166" s="53"/>
      <c r="S166" s="53">
        <f>$D$54</f>
        <v>-40</v>
      </c>
      <c r="T166" s="53"/>
      <c r="U166" s="48"/>
      <c r="V166" s="48"/>
      <c r="W166" s="48"/>
    </row>
    <row r="167" spans="1:24" ht="15" hidden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55"/>
      <c r="L167" s="55"/>
      <c r="M167" s="55"/>
      <c r="N167" s="48"/>
      <c r="O167" s="78"/>
      <c r="P167" s="53"/>
      <c r="Q167" s="53"/>
      <c r="R167" s="53"/>
      <c r="S167" s="53"/>
      <c r="T167" s="53"/>
      <c r="U167" s="48"/>
      <c r="V167" s="48"/>
      <c r="W167" s="48"/>
    </row>
    <row r="168" spans="1:24" ht="15" hidden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55"/>
      <c r="L168" s="55"/>
      <c r="M168" s="55"/>
      <c r="N168" s="48"/>
      <c r="O168" s="78"/>
      <c r="P168" s="75" t="s">
        <v>7</v>
      </c>
      <c r="Q168" s="75" t="s">
        <v>4</v>
      </c>
      <c r="R168" s="75"/>
      <c r="S168" s="75" t="s">
        <v>5</v>
      </c>
      <c r="T168" s="53"/>
      <c r="U168" s="48"/>
      <c r="V168" s="48"/>
      <c r="W168" s="48"/>
    </row>
    <row r="169" spans="1:24" ht="15" hidden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55"/>
      <c r="L169" s="55"/>
      <c r="M169" s="55"/>
      <c r="N169" s="48"/>
      <c r="O169" s="78"/>
      <c r="P169" s="53"/>
      <c r="Q169" s="53">
        <f>$C$56</f>
        <v>140</v>
      </c>
      <c r="R169" s="53"/>
      <c r="S169" s="53">
        <f>$D$56</f>
        <v>-25</v>
      </c>
      <c r="T169" s="53"/>
      <c r="U169" s="48"/>
      <c r="V169" s="48"/>
      <c r="W169" s="48"/>
    </row>
    <row r="170" spans="1:24" ht="15" hidden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78"/>
      <c r="P170" s="53"/>
      <c r="Q170" s="53"/>
      <c r="R170" s="53"/>
      <c r="S170" s="53"/>
      <c r="T170" s="53"/>
      <c r="U170" s="48"/>
      <c r="V170" s="48"/>
      <c r="W170" s="48"/>
    </row>
    <row r="171" spans="1:24" ht="15" hidden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55"/>
      <c r="M171" s="71"/>
      <c r="N171" s="48"/>
      <c r="O171" s="78"/>
      <c r="P171" s="53"/>
      <c r="Q171" s="53" t="s">
        <v>61</v>
      </c>
      <c r="R171" s="53" t="s">
        <v>6</v>
      </c>
      <c r="S171" s="53"/>
      <c r="T171" s="53"/>
      <c r="U171" s="53"/>
      <c r="V171" s="53" t="s">
        <v>7</v>
      </c>
      <c r="W171" s="53" t="s">
        <v>53</v>
      </c>
      <c r="X171" s="49" t="s">
        <v>80</v>
      </c>
    </row>
    <row r="172" spans="1:24" ht="15" hidden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 t="s">
        <v>32</v>
      </c>
      <c r="M172" s="71"/>
      <c r="N172" s="55" t="s">
        <v>34</v>
      </c>
      <c r="O172" s="78"/>
      <c r="P172" s="53"/>
      <c r="Q172" s="53" t="s">
        <v>3</v>
      </c>
      <c r="R172" s="53" t="s">
        <v>33</v>
      </c>
      <c r="S172" s="53"/>
      <c r="T172" s="53" t="s">
        <v>34</v>
      </c>
      <c r="U172" s="53" t="s">
        <v>54</v>
      </c>
      <c r="V172" s="53" t="s">
        <v>3</v>
      </c>
      <c r="W172" s="53" t="s">
        <v>55</v>
      </c>
      <c r="X172" s="49" t="s">
        <v>81</v>
      </c>
    </row>
    <row r="173" spans="1:24" ht="15" hidden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55">
        <f t="shared" ref="L173:L180" si="135">230*I70</f>
        <v>230</v>
      </c>
      <c r="M173" s="119" t="e">
        <f t="shared" ref="M173:M180" si="136">M113</f>
        <v>#N/A</v>
      </c>
      <c r="N173" s="63" t="e">
        <f>IF(L173&gt;=M173,M173,L173)</f>
        <v>#N/A</v>
      </c>
      <c r="O173" s="78"/>
      <c r="P173" s="48" t="str">
        <f t="shared" ref="P173:P180" si="137">P113</f>
        <v>CLU028-1201C4</v>
      </c>
      <c r="Q173" s="53" t="b">
        <f t="shared" ref="Q173:Q186" si="138">AND(S$166&lt;=$E$135,Q$166&gt;=$E$135)</f>
        <v>1</v>
      </c>
      <c r="R173" s="48">
        <f t="shared" ref="R173:R186" si="139">Q$163</f>
        <v>5</v>
      </c>
      <c r="S173" s="48"/>
      <c r="T173" s="63" t="e">
        <f t="shared" ref="T173:T186" si="140">N173/I130</f>
        <v>#N/A</v>
      </c>
      <c r="U173" s="53" t="e">
        <f t="shared" ref="U173:U186" si="141">AND(AND(Q173,R173&lt;=L147,T173&gt;=L147),X173)</f>
        <v>#N/A</v>
      </c>
      <c r="V173" s="53" t="b">
        <f t="shared" ref="V173:V186" si="142">AND(Q173,S$169&lt;X147,Q$169&gt;X147)</f>
        <v>1</v>
      </c>
      <c r="W173" s="53" t="e">
        <f>AND(U173,Q173,V173)</f>
        <v>#N/A</v>
      </c>
      <c r="X173" s="49" t="b">
        <f t="shared" ref="X173:X186" si="143">IF(IFERROR(M147,FALSE),TRUE)</f>
        <v>0</v>
      </c>
    </row>
    <row r="174" spans="1:24" ht="15" hidden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55">
        <f t="shared" si="135"/>
        <v>460</v>
      </c>
      <c r="M174" s="119" t="e">
        <f t="shared" si="136"/>
        <v>#N/A</v>
      </c>
      <c r="N174" s="63" t="e">
        <f t="shared" ref="N174:N185" si="144">IF(L174&gt;=M174,M174,L174)</f>
        <v>#N/A</v>
      </c>
      <c r="O174" s="78"/>
      <c r="P174" s="48" t="str">
        <f t="shared" si="137"/>
        <v>CLU028-1202C4</v>
      </c>
      <c r="Q174" s="53" t="b">
        <f t="shared" si="138"/>
        <v>1</v>
      </c>
      <c r="R174" s="48">
        <f t="shared" si="139"/>
        <v>5</v>
      </c>
      <c r="S174" s="48"/>
      <c r="T174" s="63" t="e">
        <f t="shared" si="140"/>
        <v>#N/A</v>
      </c>
      <c r="U174" s="53" t="e">
        <f t="shared" si="141"/>
        <v>#N/A</v>
      </c>
      <c r="V174" s="53" t="b">
        <f t="shared" si="142"/>
        <v>1</v>
      </c>
      <c r="W174" s="53" t="e">
        <f>AND(U174,Q174,V174)</f>
        <v>#N/A</v>
      </c>
      <c r="X174" s="49" t="b">
        <f t="shared" si="143"/>
        <v>0</v>
      </c>
    </row>
    <row r="175" spans="1:24" ht="15" hidden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55">
        <f t="shared" si="135"/>
        <v>690</v>
      </c>
      <c r="M175" s="119" t="e">
        <f t="shared" si="136"/>
        <v>#N/A</v>
      </c>
      <c r="N175" s="63" t="e">
        <f t="shared" si="144"/>
        <v>#N/A</v>
      </c>
      <c r="O175" s="48"/>
      <c r="P175" s="48" t="str">
        <f t="shared" si="137"/>
        <v>CLU028-1203C4</v>
      </c>
      <c r="Q175" s="53" t="b">
        <f t="shared" si="138"/>
        <v>1</v>
      </c>
      <c r="R175" s="48">
        <f t="shared" si="139"/>
        <v>5</v>
      </c>
      <c r="S175" s="48"/>
      <c r="T175" s="63" t="e">
        <f t="shared" si="140"/>
        <v>#N/A</v>
      </c>
      <c r="U175" s="53" t="e">
        <f t="shared" si="141"/>
        <v>#N/A</v>
      </c>
      <c r="V175" s="53" t="b">
        <f t="shared" si="142"/>
        <v>1</v>
      </c>
      <c r="W175" s="53" t="e">
        <f t="shared" ref="W175:W184" si="145">AND(U175,Q175,V175)</f>
        <v>#N/A</v>
      </c>
      <c r="X175" s="49" t="b">
        <f t="shared" si="143"/>
        <v>0</v>
      </c>
    </row>
    <row r="176" spans="1:24" ht="15" hidden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55">
        <f t="shared" si="135"/>
        <v>920</v>
      </c>
      <c r="M176" s="119">
        <f t="shared" si="136"/>
        <v>1506</v>
      </c>
      <c r="N176" s="63">
        <f t="shared" si="144"/>
        <v>920</v>
      </c>
      <c r="O176" s="48"/>
      <c r="P176" s="48" t="str">
        <f t="shared" si="137"/>
        <v>CLU028-1204C4</v>
      </c>
      <c r="Q176" s="53" t="b">
        <f t="shared" si="138"/>
        <v>1</v>
      </c>
      <c r="R176" s="48">
        <f t="shared" si="139"/>
        <v>5</v>
      </c>
      <c r="S176" s="48"/>
      <c r="T176" s="63">
        <f t="shared" si="140"/>
        <v>230</v>
      </c>
      <c r="U176" s="53" t="b">
        <f t="shared" si="141"/>
        <v>1</v>
      </c>
      <c r="V176" s="53" t="b">
        <f t="shared" si="142"/>
        <v>1</v>
      </c>
      <c r="W176" s="53" t="b">
        <f t="shared" si="145"/>
        <v>1</v>
      </c>
      <c r="X176" s="49" t="b">
        <f t="shared" si="143"/>
        <v>1</v>
      </c>
    </row>
    <row r="177" spans="1:24" ht="15" hidden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55">
        <f t="shared" si="135"/>
        <v>1150</v>
      </c>
      <c r="M177" s="119" t="e">
        <f t="shared" si="136"/>
        <v>#N/A</v>
      </c>
      <c r="N177" s="63" t="e">
        <f t="shared" si="144"/>
        <v>#N/A</v>
      </c>
      <c r="O177" s="48"/>
      <c r="P177" s="48" t="str">
        <f t="shared" si="137"/>
        <v>CLU038-1205C4</v>
      </c>
      <c r="Q177" s="53" t="b">
        <f t="shared" si="138"/>
        <v>1</v>
      </c>
      <c r="R177" s="48">
        <f t="shared" si="139"/>
        <v>5</v>
      </c>
      <c r="S177" s="48"/>
      <c r="T177" s="63" t="e">
        <f t="shared" si="140"/>
        <v>#N/A</v>
      </c>
      <c r="U177" s="53" t="e">
        <f t="shared" si="141"/>
        <v>#N/A</v>
      </c>
      <c r="V177" s="53" t="b">
        <f t="shared" si="142"/>
        <v>1</v>
      </c>
      <c r="W177" s="53" t="e">
        <f t="shared" si="145"/>
        <v>#N/A</v>
      </c>
      <c r="X177" s="49" t="b">
        <f t="shared" si="143"/>
        <v>0</v>
      </c>
    </row>
    <row r="178" spans="1:24" ht="15" hidden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55">
        <f t="shared" si="135"/>
        <v>1380</v>
      </c>
      <c r="M178" s="119">
        <f t="shared" si="136"/>
        <v>1320</v>
      </c>
      <c r="N178" s="63">
        <f t="shared" si="144"/>
        <v>1320</v>
      </c>
      <c r="O178" s="48"/>
      <c r="P178" s="48" t="str">
        <f t="shared" si="137"/>
        <v>CLU038-1206C4</v>
      </c>
      <c r="Q178" s="53" t="b">
        <f t="shared" si="138"/>
        <v>1</v>
      </c>
      <c r="R178" s="48">
        <f t="shared" si="139"/>
        <v>5</v>
      </c>
      <c r="S178" s="48"/>
      <c r="T178" s="63">
        <f t="shared" si="140"/>
        <v>220</v>
      </c>
      <c r="U178" s="53" t="b">
        <f t="shared" si="141"/>
        <v>1</v>
      </c>
      <c r="V178" s="53" t="b">
        <f t="shared" si="142"/>
        <v>1</v>
      </c>
      <c r="W178" s="53" t="b">
        <f t="shared" si="145"/>
        <v>1</v>
      </c>
      <c r="X178" s="49" t="b">
        <f t="shared" si="143"/>
        <v>1</v>
      </c>
    </row>
    <row r="179" spans="1:24" ht="15" hidden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55">
        <f t="shared" si="135"/>
        <v>1840</v>
      </c>
      <c r="M179" s="119">
        <f t="shared" si="136"/>
        <v>2079</v>
      </c>
      <c r="N179" s="63">
        <f t="shared" si="144"/>
        <v>1840</v>
      </c>
      <c r="O179" s="48"/>
      <c r="P179" s="48" t="str">
        <f t="shared" si="137"/>
        <v>CLU038-1208C4</v>
      </c>
      <c r="Q179" s="53" t="b">
        <f t="shared" si="138"/>
        <v>1</v>
      </c>
      <c r="R179" s="48">
        <f t="shared" si="139"/>
        <v>5</v>
      </c>
      <c r="S179" s="48"/>
      <c r="T179" s="63">
        <f t="shared" si="140"/>
        <v>230</v>
      </c>
      <c r="U179" s="53" t="b">
        <f t="shared" si="141"/>
        <v>1</v>
      </c>
      <c r="V179" s="53" t="b">
        <f t="shared" si="142"/>
        <v>1</v>
      </c>
      <c r="W179" s="53" t="b">
        <f t="shared" si="145"/>
        <v>1</v>
      </c>
      <c r="X179" s="49" t="b">
        <f t="shared" si="143"/>
        <v>1</v>
      </c>
    </row>
    <row r="180" spans="1:24" ht="15" hidden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55">
        <f t="shared" si="135"/>
        <v>2300</v>
      </c>
      <c r="M180" s="119" t="e">
        <f t="shared" si="136"/>
        <v>#N/A</v>
      </c>
      <c r="N180" s="63" t="e">
        <f t="shared" si="144"/>
        <v>#N/A</v>
      </c>
      <c r="O180" s="48"/>
      <c r="P180" s="48" t="str">
        <f t="shared" si="137"/>
        <v>CLU038-1210C4</v>
      </c>
      <c r="Q180" s="53" t="b">
        <f t="shared" si="138"/>
        <v>1</v>
      </c>
      <c r="R180" s="48">
        <f t="shared" si="139"/>
        <v>5</v>
      </c>
      <c r="S180" s="48"/>
      <c r="T180" s="63" t="e">
        <f t="shared" si="140"/>
        <v>#N/A</v>
      </c>
      <c r="U180" s="53" t="e">
        <f t="shared" si="141"/>
        <v>#N/A</v>
      </c>
      <c r="V180" s="53" t="b">
        <f t="shared" si="142"/>
        <v>1</v>
      </c>
      <c r="W180" s="53" t="e">
        <f t="shared" si="145"/>
        <v>#N/A</v>
      </c>
      <c r="X180" s="49" t="b">
        <f t="shared" si="143"/>
        <v>0</v>
      </c>
    </row>
    <row r="181" spans="1:24" ht="15" hidden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55">
        <f t="shared" ref="L181:L186" si="146">230*I78</f>
        <v>2530</v>
      </c>
      <c r="M181" s="119" t="e">
        <f t="shared" ref="M181:M186" si="147">M121</f>
        <v>#N/A</v>
      </c>
      <c r="N181" s="63" t="e">
        <f t="shared" ref="N181" si="148">IF(L181&gt;=M181,M181,L181)</f>
        <v>#N/A</v>
      </c>
      <c r="O181" s="48"/>
      <c r="P181" s="48" t="str">
        <f t="shared" ref="P181:P186" si="149">P121</f>
        <v>CLU048-1211C4</v>
      </c>
      <c r="Q181" s="53" t="b">
        <f t="shared" si="138"/>
        <v>1</v>
      </c>
      <c r="R181" s="48">
        <f t="shared" ref="R181" si="150">Q$163</f>
        <v>5</v>
      </c>
      <c r="S181" s="48"/>
      <c r="T181" s="63" t="e">
        <f t="shared" si="140"/>
        <v>#N/A</v>
      </c>
      <c r="U181" s="53" t="e">
        <f t="shared" si="141"/>
        <v>#N/A</v>
      </c>
      <c r="V181" s="53" t="b">
        <f t="shared" si="142"/>
        <v>1</v>
      </c>
      <c r="W181" s="53" t="e">
        <f t="shared" ref="W181" si="151">AND(U181,Q181,V181)</f>
        <v>#N/A</v>
      </c>
      <c r="X181" s="49" t="b">
        <f t="shared" si="143"/>
        <v>0</v>
      </c>
    </row>
    <row r="182" spans="1:24" ht="15" hidden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55">
        <f t="shared" si="146"/>
        <v>2760</v>
      </c>
      <c r="M182" s="119">
        <f t="shared" si="147"/>
        <v>3120</v>
      </c>
      <c r="N182" s="63">
        <f t="shared" si="144"/>
        <v>2760</v>
      </c>
      <c r="O182" s="48"/>
      <c r="P182" s="48" t="str">
        <f t="shared" si="149"/>
        <v>CLU048-1212C4</v>
      </c>
      <c r="Q182" s="53" t="b">
        <f t="shared" si="138"/>
        <v>1</v>
      </c>
      <c r="R182" s="48">
        <f t="shared" si="139"/>
        <v>5</v>
      </c>
      <c r="S182" s="48"/>
      <c r="T182" s="63">
        <f t="shared" si="140"/>
        <v>230</v>
      </c>
      <c r="U182" s="53" t="b">
        <f t="shared" si="141"/>
        <v>1</v>
      </c>
      <c r="V182" s="53" t="b">
        <f t="shared" si="142"/>
        <v>1</v>
      </c>
      <c r="W182" s="53" t="b">
        <f t="shared" si="145"/>
        <v>1</v>
      </c>
      <c r="X182" s="49" t="b">
        <f t="shared" si="143"/>
        <v>1</v>
      </c>
    </row>
    <row r="183" spans="1:24" ht="15" hidden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55">
        <f t="shared" si="146"/>
        <v>2760</v>
      </c>
      <c r="M183" s="119">
        <f t="shared" si="147"/>
        <v>3840</v>
      </c>
      <c r="N183" s="63">
        <f t="shared" si="144"/>
        <v>2760</v>
      </c>
      <c r="O183" s="48"/>
      <c r="P183" s="48" t="str">
        <f t="shared" si="149"/>
        <v>CLU048-1812C4</v>
      </c>
      <c r="Q183" s="53" t="b">
        <f t="shared" si="138"/>
        <v>1</v>
      </c>
      <c r="R183" s="48">
        <f t="shared" si="139"/>
        <v>5</v>
      </c>
      <c r="S183" s="48"/>
      <c r="T183" s="63">
        <f t="shared" si="140"/>
        <v>230</v>
      </c>
      <c r="U183" s="53" t="b">
        <f t="shared" si="141"/>
        <v>1</v>
      </c>
      <c r="V183" s="53" t="b">
        <f t="shared" si="142"/>
        <v>1</v>
      </c>
      <c r="W183" s="53" t="b">
        <f t="shared" si="145"/>
        <v>1</v>
      </c>
      <c r="X183" s="49" t="b">
        <f t="shared" si="143"/>
        <v>1</v>
      </c>
    </row>
    <row r="184" spans="1:24" ht="15" hidden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55">
        <f t="shared" si="146"/>
        <v>4140</v>
      </c>
      <c r="M184" s="119" t="e">
        <f t="shared" si="147"/>
        <v>#N/A</v>
      </c>
      <c r="N184" s="63" t="e">
        <f t="shared" si="144"/>
        <v>#N/A</v>
      </c>
      <c r="O184" s="48"/>
      <c r="P184" s="48" t="str">
        <f t="shared" si="149"/>
        <v>CLU048-1818C4</v>
      </c>
      <c r="Q184" s="53" t="b">
        <f t="shared" si="138"/>
        <v>1</v>
      </c>
      <c r="R184" s="48">
        <f t="shared" si="139"/>
        <v>5</v>
      </c>
      <c r="S184" s="48"/>
      <c r="T184" s="63" t="e">
        <f t="shared" si="140"/>
        <v>#N/A</v>
      </c>
      <c r="U184" s="53" t="e">
        <f t="shared" si="141"/>
        <v>#N/A</v>
      </c>
      <c r="V184" s="53" t="b">
        <f t="shared" si="142"/>
        <v>1</v>
      </c>
      <c r="W184" s="53" t="e">
        <f t="shared" si="145"/>
        <v>#N/A</v>
      </c>
      <c r="X184" s="49" t="b">
        <f t="shared" si="143"/>
        <v>0</v>
      </c>
    </row>
    <row r="185" spans="1:24" ht="15" hidden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55">
        <f t="shared" si="146"/>
        <v>5750</v>
      </c>
      <c r="M185" s="119" t="e">
        <f t="shared" si="147"/>
        <v>#N/A</v>
      </c>
      <c r="N185" s="63" t="e">
        <f t="shared" si="144"/>
        <v>#N/A</v>
      </c>
      <c r="O185" s="48"/>
      <c r="P185" s="48" t="str">
        <f t="shared" si="149"/>
        <v>CLU058-1825C4</v>
      </c>
      <c r="Q185" s="53" t="b">
        <f t="shared" si="138"/>
        <v>1</v>
      </c>
      <c r="R185" s="48">
        <f>Q$163</f>
        <v>5</v>
      </c>
      <c r="S185" s="48"/>
      <c r="T185" s="63" t="e">
        <f t="shared" si="140"/>
        <v>#N/A</v>
      </c>
      <c r="U185" s="53" t="e">
        <f t="shared" si="141"/>
        <v>#N/A</v>
      </c>
      <c r="V185" s="53" t="b">
        <f t="shared" si="142"/>
        <v>1</v>
      </c>
      <c r="W185" s="53" t="e">
        <f>AND(U185,Q185,V185)</f>
        <v>#N/A</v>
      </c>
      <c r="X185" s="49" t="b">
        <f t="shared" si="143"/>
        <v>0</v>
      </c>
    </row>
    <row r="186" spans="1:24" ht="15" hidden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55">
        <f t="shared" si="146"/>
        <v>4140</v>
      </c>
      <c r="M186" s="119" t="e">
        <f t="shared" si="147"/>
        <v>#N/A</v>
      </c>
      <c r="N186" s="63" t="e">
        <f t="shared" ref="N186" si="152">IF(L186&gt;=M186,M186,L186)</f>
        <v>#N/A</v>
      </c>
      <c r="O186" s="48"/>
      <c r="P186" s="48" t="str">
        <f t="shared" si="149"/>
        <v>CLU058-3618C4</v>
      </c>
      <c r="Q186" s="53" t="b">
        <f t="shared" si="138"/>
        <v>1</v>
      </c>
      <c r="R186" s="48">
        <f t="shared" si="139"/>
        <v>5</v>
      </c>
      <c r="S186" s="48"/>
      <c r="T186" s="63" t="e">
        <f t="shared" si="140"/>
        <v>#N/A</v>
      </c>
      <c r="U186" s="53" t="e">
        <f t="shared" si="141"/>
        <v>#N/A</v>
      </c>
      <c r="V186" s="53" t="b">
        <f t="shared" si="142"/>
        <v>1</v>
      </c>
      <c r="W186" s="53" t="e">
        <f>AND(U186,Q186,V186)</f>
        <v>#N/A</v>
      </c>
      <c r="X186" s="49" t="b">
        <f t="shared" si="143"/>
        <v>0</v>
      </c>
    </row>
  </sheetData>
  <sheetProtection password="C071" sheet="1" objects="1" scenarios="1" selectLockedCells="1" selectUnlockedCells="1"/>
  <mergeCells count="1">
    <mergeCell ref="A59:B59"/>
  </mergeCells>
  <phoneticPr fontId="3"/>
  <conditionalFormatting sqref="C36:P48">
    <cfRule type="cellIs" dxfId="1" priority="6" stopIfTrue="1" operator="equal">
      <formula>"Not Applicable"</formula>
    </cfRule>
  </conditionalFormatting>
  <conditionalFormatting sqref="C35:P35">
    <cfRule type="cellIs" dxfId="0" priority="3" stopIfTrue="1" operator="equal">
      <formula>"Not Applicable"</formula>
    </cfRule>
  </conditionalFormatting>
  <pageMargins left="0.19685039370078741" right="0.19685039370078741" top="0.19685039370078741" bottom="0.19685039370078741" header="0.51181102362204722" footer="0.51181102362204722"/>
  <pageSetup paperSize="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Simulator</vt:lpstr>
      <vt:lpstr>Calculation</vt:lpstr>
      <vt:lpstr>Calculation!Tulostusalue</vt:lpstr>
      <vt:lpstr>Simulator!Tulostusalue</vt:lpstr>
    </vt:vector>
  </TitlesOfParts>
  <Company>CITIZEN ELECTRONICS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CITILED Lighting LED Selection Simulator</dc:title>
  <dc:creator>貴家 健次</dc:creator>
  <cp:lastModifiedBy>Taina Matintalo</cp:lastModifiedBy>
  <cp:lastPrinted>2014-05-01T10:43:19Z</cp:lastPrinted>
  <dcterms:created xsi:type="dcterms:W3CDTF">2011-08-25T00:09:33Z</dcterms:created>
  <dcterms:modified xsi:type="dcterms:W3CDTF">2017-02-21T07:43:57Z</dcterms:modified>
</cp:coreProperties>
</file>